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bifa-projekte\7 Chemische Verfahrenstechnik und Analytik\730638 ITAD Aktualisierung Praxisleitfaden 2022\700_Bericht\"/>
    </mc:Choice>
  </mc:AlternateContent>
  <xr:revisionPtr revIDLastSave="0" documentId="13_ncr:1_{08A8EA2B-B4A4-4EE0-946C-28BD23638C02}" xr6:coauthVersionLast="47" xr6:coauthVersionMax="47" xr10:uidLastSave="{00000000-0000-0000-0000-000000000000}"/>
  <bookViews>
    <workbookView xWindow="23892" yWindow="-2880" windowWidth="29016" windowHeight="15972" activeTab="1" xr2:uid="{A360CA7A-4F7D-4666-A3B1-3180A2550B17}"/>
  </bookViews>
  <sheets>
    <sheet name="Info" sheetId="4" r:id="rId1"/>
    <sheet name="Hinweise_zur_Beauftragung" sheetId="7" r:id="rId2"/>
    <sheet name="Übernahme_Werte" sheetId="3" r:id="rId3"/>
    <sheet name="für_Einstufung" sheetId="2" r:id="rId4"/>
    <sheet name="Hazard_Index" sheetId="1" r:id="rId5"/>
    <sheet name="Plausibilitätsprüfungen" sheetId="5" r:id="rId6"/>
  </sheets>
  <externalReferences>
    <externalReference r:id="rId7"/>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1" i="5" l="1"/>
  <c r="H24" i="5"/>
  <c r="H19" i="5"/>
  <c r="H21" i="5"/>
  <c r="H20" i="5"/>
  <c r="H17" i="5"/>
  <c r="H85" i="5"/>
  <c r="H84" i="5"/>
  <c r="H87" i="5"/>
  <c r="H86" i="5"/>
  <c r="H82" i="5"/>
  <c r="H61" i="5"/>
  <c r="H55" i="5" l="1"/>
  <c r="H77" i="5"/>
  <c r="H75" i="5"/>
  <c r="H74" i="5"/>
  <c r="H71" i="5"/>
  <c r="H72" i="5"/>
  <c r="H69" i="5"/>
  <c r="H68" i="5"/>
  <c r="H66" i="5"/>
  <c r="H63" i="5"/>
  <c r="H29" i="5"/>
  <c r="H27" i="5"/>
  <c r="G24" i="5"/>
  <c r="G30" i="5" s="1"/>
  <c r="H30" i="5" s="1"/>
  <c r="H59" i="5"/>
  <c r="H58" i="5"/>
  <c r="G20" i="5" l="1"/>
  <c r="H14" i="5"/>
  <c r="H22" i="5" s="1"/>
  <c r="H16" i="5"/>
  <c r="AN4" i="2"/>
  <c r="BJ5" i="2"/>
  <c r="BH5" i="2"/>
  <c r="BF5" i="2"/>
  <c r="BD5" i="2"/>
  <c r="BB5" i="2"/>
  <c r="AZ5" i="2"/>
  <c r="BJ4" i="2"/>
  <c r="BH4" i="2"/>
  <c r="BF4" i="2"/>
  <c r="BD4" i="2"/>
  <c r="BB4" i="2"/>
  <c r="AZ4" i="2"/>
  <c r="AV55" i="2"/>
  <c r="AT58" i="2"/>
  <c r="AR53" i="2"/>
  <c r="AP56" i="2"/>
  <c r="BJ58" i="2"/>
  <c r="AV58" i="2" s="1"/>
  <c r="BH58" i="2"/>
  <c r="BF58" i="2"/>
  <c r="AR58" i="2" s="1"/>
  <c r="BD58" i="2"/>
  <c r="AP58" i="2" s="1"/>
  <c r="BB58" i="2"/>
  <c r="AN58" i="2" s="1"/>
  <c r="AZ58" i="2"/>
  <c r="BJ57" i="2"/>
  <c r="AV57" i="2" s="1"/>
  <c r="BH57" i="2"/>
  <c r="AT57" i="2" s="1"/>
  <c r="BF57" i="2"/>
  <c r="AR57" i="2" s="1"/>
  <c r="BD57" i="2"/>
  <c r="AP57" i="2" s="1"/>
  <c r="BB57" i="2"/>
  <c r="AN57" i="2" s="1"/>
  <c r="AZ57" i="2"/>
  <c r="BJ56" i="2"/>
  <c r="AV56" i="2" s="1"/>
  <c r="BH56" i="2"/>
  <c r="AT56" i="2" s="1"/>
  <c r="BF56" i="2"/>
  <c r="AR56" i="2" s="1"/>
  <c r="BD56" i="2"/>
  <c r="BB56" i="2"/>
  <c r="AN56" i="2" s="1"/>
  <c r="AZ56" i="2"/>
  <c r="BJ55" i="2"/>
  <c r="BH55" i="2"/>
  <c r="AT55" i="2" s="1"/>
  <c r="BD55" i="2"/>
  <c r="AP55" i="2" s="1"/>
  <c r="BB55" i="2"/>
  <c r="AN55" i="2" s="1"/>
  <c r="AZ55" i="2"/>
  <c r="BJ54" i="2"/>
  <c r="AV54" i="2" s="1"/>
  <c r="BH54" i="2"/>
  <c r="AT54" i="2" s="1"/>
  <c r="BF54" i="2"/>
  <c r="AR54" i="2" s="1"/>
  <c r="BB54" i="2"/>
  <c r="AN54" i="2" s="1"/>
  <c r="AZ54" i="2"/>
  <c r="BH53" i="2"/>
  <c r="AT53" i="2" s="1"/>
  <c r="BF53" i="2"/>
  <c r="BD53" i="2"/>
  <c r="AP53" i="2" s="1"/>
  <c r="AZ53" i="2"/>
  <c r="AL53" i="2"/>
  <c r="AL54" i="2"/>
  <c r="AL55" i="2"/>
  <c r="AL56" i="2"/>
  <c r="AL57" i="2"/>
  <c r="AL58" i="2"/>
  <c r="BJ52" i="2"/>
  <c r="AV52" i="2" s="1"/>
  <c r="BF52" i="2"/>
  <c r="AR52" i="2" s="1"/>
  <c r="BD52" i="2"/>
  <c r="AP52" i="2" s="1"/>
  <c r="BB52" i="2"/>
  <c r="AN52" i="2" s="1"/>
  <c r="BJ51" i="2"/>
  <c r="BJ50" i="2"/>
  <c r="BH50" i="2"/>
  <c r="BF50" i="2"/>
  <c r="BD50" i="2"/>
  <c r="BB50" i="2"/>
  <c r="AZ50" i="2"/>
  <c r="BJ49" i="2"/>
  <c r="BH49" i="2"/>
  <c r="BF49" i="2"/>
  <c r="BD49" i="2"/>
  <c r="BB49" i="2"/>
  <c r="AZ49" i="2"/>
  <c r="J3" i="3" l="1"/>
  <c r="L3" i="3"/>
  <c r="N3" i="3"/>
  <c r="J4" i="3"/>
  <c r="L4" i="3"/>
  <c r="N4" i="3"/>
  <c r="H13" i="1"/>
  <c r="K13" i="1" s="1"/>
  <c r="H14" i="1"/>
  <c r="K14" i="1" s="1"/>
  <c r="G17" i="1"/>
  <c r="H17" i="1" s="1"/>
  <c r="K17" i="1" s="1"/>
  <c r="J17" i="1"/>
  <c r="G18" i="1"/>
  <c r="J18" i="1" s="1"/>
  <c r="H18" i="1"/>
  <c r="K18" i="1"/>
  <c r="G19" i="1"/>
  <c r="J19" i="1" s="1"/>
  <c r="H19" i="1"/>
  <c r="K19" i="1"/>
  <c r="G20" i="1"/>
  <c r="J20" i="1" s="1"/>
  <c r="H20" i="1"/>
  <c r="K20" i="1"/>
  <c r="G21" i="1"/>
  <c r="J21" i="1" s="1"/>
  <c r="H21" i="1"/>
  <c r="K21" i="1"/>
  <c r="G22" i="1"/>
  <c r="J22" i="1" s="1"/>
  <c r="H22" i="1"/>
  <c r="K22" i="1"/>
  <c r="G23" i="1"/>
  <c r="J23" i="1" s="1"/>
  <c r="H23" i="1"/>
  <c r="K23" i="1"/>
  <c r="G24" i="1"/>
  <c r="J24" i="1" s="1"/>
  <c r="H24" i="1"/>
  <c r="K24" i="1"/>
  <c r="G25" i="1"/>
  <c r="J25" i="1" s="1"/>
  <c r="H25" i="1"/>
  <c r="K25" i="1"/>
  <c r="H29" i="1"/>
  <c r="K29" i="1" s="1"/>
  <c r="H30" i="1"/>
  <c r="K30" i="1"/>
  <c r="H31" i="1"/>
  <c r="K31" i="1"/>
  <c r="H32" i="1"/>
  <c r="K32" i="1"/>
  <c r="H33" i="1"/>
  <c r="K33" i="1"/>
  <c r="H34" i="1"/>
  <c r="K34" i="1"/>
  <c r="H35" i="1"/>
  <c r="K35" i="1"/>
  <c r="H36" i="1"/>
  <c r="K36" i="1"/>
  <c r="H37" i="1"/>
  <c r="K37" i="1"/>
  <c r="G40" i="1"/>
  <c r="J40" i="1" s="1"/>
  <c r="H40" i="1"/>
  <c r="K40" i="1" s="1"/>
  <c r="G41" i="1"/>
  <c r="H41" i="1"/>
  <c r="J41" i="1"/>
  <c r="K41" i="1"/>
  <c r="H45" i="1"/>
  <c r="K45" i="1" s="1"/>
  <c r="H46" i="1"/>
  <c r="K46" i="1"/>
  <c r="H47" i="1"/>
  <c r="K47" i="1"/>
  <c r="H48" i="1"/>
  <c r="K48" i="1" s="1"/>
  <c r="H49" i="1"/>
  <c r="K49" i="1" s="1"/>
  <c r="G53" i="1"/>
  <c r="H53" i="1"/>
  <c r="J53" i="1"/>
  <c r="K53" i="1"/>
  <c r="G55" i="1"/>
  <c r="H55" i="1"/>
  <c r="J55" i="1"/>
  <c r="K55" i="1"/>
  <c r="G56" i="1"/>
  <c r="H56" i="1"/>
  <c r="J56" i="1"/>
  <c r="K56" i="1"/>
  <c r="C64" i="1"/>
  <c r="O64" i="1"/>
  <c r="Q64" i="1"/>
  <c r="S64" i="1"/>
  <c r="U64" i="1"/>
  <c r="C65" i="1"/>
  <c r="O65" i="1"/>
  <c r="Q65" i="1"/>
  <c r="S65" i="1"/>
  <c r="U65" i="1"/>
  <c r="G66" i="1"/>
  <c r="H66" i="1"/>
  <c r="K66" i="1" s="1"/>
  <c r="J66" i="1"/>
  <c r="C67" i="1"/>
  <c r="O67" i="1"/>
  <c r="Q67" i="1"/>
  <c r="S67" i="1"/>
  <c r="U67" i="1"/>
  <c r="G70" i="1"/>
  <c r="H70" i="1" s="1"/>
  <c r="K70" i="1" s="1"/>
  <c r="L20" i="1"/>
  <c r="L24" i="1"/>
  <c r="L36" i="1"/>
  <c r="L37" i="1"/>
  <c r="L45" i="1"/>
  <c r="L48" i="1"/>
  <c r="L54" i="1"/>
  <c r="AH60" i="1"/>
  <c r="L66" i="1"/>
  <c r="L17" i="1"/>
  <c r="L21" i="1"/>
  <c r="L25" i="1"/>
  <c r="L30" i="1"/>
  <c r="L31" i="1"/>
  <c r="L40" i="1"/>
  <c r="L55" i="1"/>
  <c r="AH61" i="1"/>
  <c r="L22" i="1"/>
  <c r="L29" i="1"/>
  <c r="L32" i="1"/>
  <c r="L33" i="1"/>
  <c r="L41" i="1"/>
  <c r="L47" i="1"/>
  <c r="L49" i="1"/>
  <c r="L56" i="1"/>
  <c r="AH62" i="1"/>
  <c r="L19" i="1"/>
  <c r="L23" i="1"/>
  <c r="L34" i="1"/>
  <c r="L35" i="1"/>
  <c r="L46" i="1"/>
  <c r="L53" i="1"/>
  <c r="AH59" i="1"/>
  <c r="L70" i="1"/>
  <c r="L14" i="1"/>
  <c r="L18" i="1"/>
  <c r="L13" i="1"/>
  <c r="J70" i="1" l="1"/>
  <c r="G71" i="1"/>
  <c r="H71" i="1"/>
  <c r="J71" i="1"/>
  <c r="K71" i="1"/>
  <c r="G72" i="1"/>
  <c r="J72" i="1" s="1"/>
  <c r="H72" i="1"/>
  <c r="K72" i="1" s="1"/>
  <c r="G73" i="1"/>
  <c r="H73" i="1"/>
  <c r="J73" i="1"/>
  <c r="K73" i="1"/>
  <c r="G76" i="1"/>
  <c r="H76" i="1" s="1"/>
  <c r="K76" i="1" s="1"/>
  <c r="J76" i="1"/>
  <c r="G77" i="1"/>
  <c r="H77" i="1" s="1"/>
  <c r="K77" i="1" s="1"/>
  <c r="J77" i="1"/>
  <c r="G78" i="1"/>
  <c r="H78" i="1"/>
  <c r="J78" i="1"/>
  <c r="K78" i="1"/>
  <c r="G79" i="1"/>
  <c r="H79" i="1"/>
  <c r="J79" i="1"/>
  <c r="K79" i="1"/>
  <c r="G90" i="1"/>
  <c r="J90" i="1" s="1"/>
  <c r="H90" i="1"/>
  <c r="K90" i="1" s="1"/>
  <c r="G91" i="1"/>
  <c r="H91" i="1" s="1"/>
  <c r="K91" i="1" s="1"/>
  <c r="L72" i="1"/>
  <c r="L76" i="1"/>
  <c r="L78" i="1"/>
  <c r="L90" i="1"/>
  <c r="L77" i="1"/>
  <c r="L71" i="1"/>
  <c r="L73" i="1"/>
  <c r="L79" i="1"/>
  <c r="L91" i="1"/>
  <c r="J91" i="1" l="1"/>
  <c r="G95" i="1"/>
  <c r="H95" i="1" s="1"/>
  <c r="K95" i="1" s="1"/>
  <c r="L95" i="1"/>
  <c r="J95" i="1" l="1"/>
  <c r="G97" i="1"/>
  <c r="H97" i="1"/>
  <c r="J97" i="1"/>
  <c r="K97" i="1"/>
  <c r="G98" i="1"/>
  <c r="H98" i="1" s="1"/>
  <c r="K98" i="1" s="1"/>
  <c r="L98" i="1"/>
  <c r="L96" i="1"/>
  <c r="L97" i="1"/>
  <c r="J98" i="1" l="1"/>
  <c r="X99" i="1"/>
  <c r="Z99" i="1"/>
  <c r="AB99" i="1"/>
  <c r="AD99" i="1"/>
  <c r="C106" i="1"/>
  <c r="O106" i="1"/>
  <c r="Q106" i="1"/>
  <c r="S106" i="1"/>
  <c r="U106" i="1"/>
  <c r="C107" i="1"/>
  <c r="O107" i="1"/>
  <c r="Q107" i="1"/>
  <c r="S107" i="1"/>
  <c r="U107" i="1"/>
  <c r="G108" i="1"/>
  <c r="H108" i="1"/>
  <c r="K108" i="1" s="1"/>
  <c r="J108" i="1"/>
  <c r="C109" i="1"/>
  <c r="O109" i="1"/>
  <c r="Q109" i="1"/>
  <c r="S109" i="1"/>
  <c r="U109" i="1"/>
  <c r="G112" i="1"/>
  <c r="H112" i="1" s="1"/>
  <c r="K112" i="1" s="1"/>
  <c r="J112" i="1"/>
  <c r="G113" i="1"/>
  <c r="H113" i="1" s="1"/>
  <c r="K113" i="1" s="1"/>
  <c r="AH104" i="1"/>
  <c r="L113" i="1"/>
  <c r="L112" i="1"/>
  <c r="AH101" i="1"/>
  <c r="AH102" i="1"/>
  <c r="L108" i="1"/>
  <c r="AH103" i="1"/>
  <c r="J113" i="1" l="1"/>
  <c r="G114" i="1"/>
  <c r="H114" i="1"/>
  <c r="K114" i="1" s="1"/>
  <c r="J114" i="1"/>
  <c r="G115" i="1"/>
  <c r="H115" i="1" s="1"/>
  <c r="K115" i="1" s="1"/>
  <c r="L114" i="1"/>
  <c r="L115" i="1"/>
  <c r="J115" i="1" l="1"/>
  <c r="G118" i="1"/>
  <c r="J118" i="1" s="1"/>
  <c r="H118" i="1"/>
  <c r="K118" i="1" s="1"/>
  <c r="G119" i="1"/>
  <c r="H119" i="1"/>
  <c r="J119" i="1"/>
  <c r="K119" i="1"/>
  <c r="G120" i="1"/>
  <c r="H120" i="1" s="1"/>
  <c r="K120" i="1" s="1"/>
  <c r="L119" i="1"/>
  <c r="L118" i="1"/>
  <c r="L120" i="1"/>
  <c r="J120" i="1" l="1"/>
  <c r="G121" i="1"/>
  <c r="H121" i="1" s="1"/>
  <c r="K121" i="1" s="1"/>
  <c r="J121" i="1"/>
  <c r="C135" i="1"/>
  <c r="O135" i="1"/>
  <c r="Q135" i="1"/>
  <c r="S135" i="1"/>
  <c r="U135" i="1"/>
  <c r="C136" i="1"/>
  <c r="O136" i="1"/>
  <c r="Q136" i="1"/>
  <c r="S136" i="1"/>
  <c r="U136" i="1"/>
  <c r="C137" i="1"/>
  <c r="G137" i="1"/>
  <c r="H137" i="1"/>
  <c r="J137" i="1"/>
  <c r="K137" i="1"/>
  <c r="O137" i="1"/>
  <c r="Q137" i="1"/>
  <c r="S137" i="1"/>
  <c r="U137" i="1"/>
  <c r="C138" i="1"/>
  <c r="O138" i="1"/>
  <c r="Q138" i="1"/>
  <c r="S138" i="1"/>
  <c r="U138" i="1"/>
  <c r="G141" i="1"/>
  <c r="H141" i="1" s="1"/>
  <c r="K141" i="1" s="1"/>
  <c r="J141" i="1"/>
  <c r="O141" i="1"/>
  <c r="Q141" i="1"/>
  <c r="S141" i="1"/>
  <c r="U141" i="1"/>
  <c r="G142" i="1"/>
  <c r="H142" i="1"/>
  <c r="J142" i="1"/>
  <c r="K142" i="1"/>
  <c r="O142" i="1"/>
  <c r="Q142" i="1"/>
  <c r="S142" i="1"/>
  <c r="U142" i="1"/>
  <c r="G143" i="1"/>
  <c r="H143" i="1"/>
  <c r="J143" i="1"/>
  <c r="K143" i="1"/>
  <c r="O143" i="1"/>
  <c r="Q143" i="1"/>
  <c r="S143" i="1"/>
  <c r="U143" i="1"/>
  <c r="G144" i="1"/>
  <c r="H144" i="1" s="1"/>
  <c r="K144" i="1" s="1"/>
  <c r="J144" i="1"/>
  <c r="O144" i="1"/>
  <c r="Q144" i="1"/>
  <c r="S144" i="1"/>
  <c r="U144" i="1"/>
  <c r="V2" i="2"/>
  <c r="X2" i="2"/>
  <c r="Z2" i="2"/>
  <c r="AD2" i="2"/>
  <c r="AF2" i="2"/>
  <c r="AL2" i="2"/>
  <c r="AN2" i="2"/>
  <c r="AP2" i="2"/>
  <c r="AT2" i="2"/>
  <c r="AV2" i="2"/>
  <c r="V3" i="2"/>
  <c r="Z3" i="2"/>
  <c r="AB3" i="2"/>
  <c r="AD3" i="2"/>
  <c r="AL3" i="2"/>
  <c r="AP3" i="2"/>
  <c r="AR3" i="2"/>
  <c r="AT3" i="2"/>
  <c r="X4" i="2"/>
  <c r="R4" i="2"/>
  <c r="V4" i="2"/>
  <c r="Z4" i="2"/>
  <c r="AD4" i="2"/>
  <c r="AF4" i="2"/>
  <c r="AI4" i="2"/>
  <c r="AJ4" i="2"/>
  <c r="AL4" i="2"/>
  <c r="AP4" i="2"/>
  <c r="AT4" i="2"/>
  <c r="AV4" i="2"/>
  <c r="V5" i="2"/>
  <c r="AD5" i="2"/>
  <c r="R5" i="2"/>
  <c r="X5" i="2"/>
  <c r="AF5" i="2"/>
  <c r="AI5" i="2"/>
  <c r="AJ5" i="2"/>
  <c r="AN5" i="2"/>
  <c r="AV5" i="2"/>
  <c r="AL8" i="2"/>
  <c r="AB7" i="2"/>
  <c r="BF7" i="2" s="1"/>
  <c r="AT8" i="2"/>
  <c r="R7" i="2"/>
  <c r="Z7" i="2"/>
  <c r="BD7" i="2" s="1"/>
  <c r="AI7" i="2"/>
  <c r="AJ7" i="2"/>
  <c r="AP7" i="2"/>
  <c r="V8" i="2"/>
  <c r="AZ8" i="2" s="1"/>
  <c r="X8" i="2"/>
  <c r="BB8" i="2" s="1"/>
  <c r="AD8" i="2"/>
  <c r="BH8" i="2" s="1"/>
  <c r="AF9" i="2"/>
  <c r="BJ9" i="2" s="1"/>
  <c r="R8" i="2"/>
  <c r="AI8" i="2"/>
  <c r="AJ8" i="2"/>
  <c r="R9" i="2"/>
  <c r="V9" i="2"/>
  <c r="AZ9" i="2" s="1"/>
  <c r="AD9" i="2"/>
  <c r="BH9" i="2" s="1"/>
  <c r="AI9" i="2"/>
  <c r="AJ9" i="2"/>
  <c r="AL9" i="2"/>
  <c r="AT9" i="2"/>
  <c r="R10" i="2"/>
  <c r="X10" i="2"/>
  <c r="BB10" i="2" s="1"/>
  <c r="AF10" i="2"/>
  <c r="BJ10" i="2" s="1"/>
  <c r="AI10" i="2"/>
  <c r="AJ10" i="2"/>
  <c r="AN10" i="2"/>
  <c r="AV10" i="2"/>
  <c r="R11" i="2"/>
  <c r="AI11" i="2"/>
  <c r="Z12" i="2"/>
  <c r="V12" i="2"/>
  <c r="X12" i="2"/>
  <c r="AD12" i="2"/>
  <c r="AF12" i="2"/>
  <c r="BJ12" i="2" s="1"/>
  <c r="AZ12" i="2"/>
  <c r="R15" i="2"/>
  <c r="AI15" i="2"/>
  <c r="R16" i="2"/>
  <c r="AI16" i="2"/>
  <c r="R17" i="2"/>
  <c r="AI17" i="2"/>
  <c r="R18" i="2"/>
  <c r="AI18" i="2"/>
  <c r="R19" i="2"/>
  <c r="AI19" i="2"/>
  <c r="R20" i="2"/>
  <c r="AI20" i="2"/>
  <c r="R21" i="2"/>
  <c r="AI21" i="2"/>
  <c r="R22" i="2"/>
  <c r="AI22" i="2"/>
  <c r="R23" i="2"/>
  <c r="AI23" i="2"/>
  <c r="R24" i="2"/>
  <c r="AI24" i="2"/>
  <c r="R25" i="2"/>
  <c r="AI25" i="2"/>
  <c r="R26" i="2"/>
  <c r="AI26" i="2"/>
  <c r="R27" i="2"/>
  <c r="AI27" i="2"/>
  <c r="R28" i="2"/>
  <c r="AI28" i="2"/>
  <c r="R29" i="2"/>
  <c r="AI29" i="2"/>
  <c r="R30" i="2"/>
  <c r="AI30" i="2"/>
  <c r="R31" i="2"/>
  <c r="AI31" i="2"/>
  <c r="R32" i="2"/>
  <c r="AI32" i="2"/>
  <c r="R33" i="2"/>
  <c r="AI33" i="2"/>
  <c r="R34" i="2"/>
  <c r="AI34" i="2"/>
  <c r="R35" i="2"/>
  <c r="AI35" i="2"/>
  <c r="R36" i="2"/>
  <c r="AI36" i="2"/>
  <c r="R37" i="2"/>
  <c r="AI37" i="2"/>
  <c r="R38" i="2"/>
  <c r="AI38" i="2"/>
  <c r="R39" i="2"/>
  <c r="AI39" i="2"/>
  <c r="R40" i="2"/>
  <c r="AI40" i="2"/>
  <c r="R41" i="2"/>
  <c r="AI41" i="2"/>
  <c r="R42" i="2"/>
  <c r="AI42" i="2"/>
  <c r="R43" i="2"/>
  <c r="AI43" i="2"/>
  <c r="R44" i="2"/>
  <c r="AI44" i="2"/>
  <c r="R45" i="2"/>
  <c r="AI45" i="2"/>
  <c r="R46" i="2"/>
  <c r="AI46" i="2"/>
  <c r="R52" i="2"/>
  <c r="AI52" i="2"/>
  <c r="AJ52" i="2"/>
  <c r="R53" i="2"/>
  <c r="AI53" i="2"/>
  <c r="AJ53" i="2"/>
  <c r="R54" i="2"/>
  <c r="AI54" i="2"/>
  <c r="AJ54" i="2"/>
  <c r="R55" i="2"/>
  <c r="AI55" i="2"/>
  <c r="AJ55" i="2"/>
  <c r="R56" i="2"/>
  <c r="AI56" i="2"/>
  <c r="AJ56" i="2"/>
  <c r="R57" i="2"/>
  <c r="AI57" i="2"/>
  <c r="AJ57" i="2"/>
  <c r="R58" i="2"/>
  <c r="AI58" i="2"/>
  <c r="AJ58" i="2"/>
  <c r="R61" i="2"/>
  <c r="AI61" i="2"/>
  <c r="R62" i="2"/>
  <c r="AI62" i="2"/>
  <c r="R63" i="2"/>
  <c r="AI63" i="2"/>
  <c r="R64" i="2"/>
  <c r="AI64" i="2"/>
  <c r="AI74" i="2"/>
  <c r="AI75" i="2"/>
  <c r="AI76" i="2"/>
  <c r="AI77" i="2"/>
  <c r="AI79" i="2"/>
  <c r="AI80" i="2"/>
  <c r="AI81" i="2"/>
  <c r="AI82" i="2"/>
  <c r="AH130" i="1"/>
  <c r="L142" i="1"/>
  <c r="L144" i="1"/>
  <c r="AH98" i="1"/>
  <c r="AH72" i="1"/>
  <c r="AH112" i="1"/>
  <c r="AH17" i="1"/>
  <c r="AH106" i="1"/>
  <c r="AH71" i="1"/>
  <c r="AH46" i="1"/>
  <c r="AH18" i="1"/>
  <c r="AH35" i="1"/>
  <c r="AH14" i="1"/>
  <c r="AH138" i="1"/>
  <c r="AH115" i="1"/>
  <c r="AH121" i="1"/>
  <c r="AH45" i="1"/>
  <c r="AH13" i="1"/>
  <c r="AH91" i="1"/>
  <c r="AH66" i="1"/>
  <c r="AH25" i="1"/>
  <c r="AH96" i="1"/>
  <c r="AH53" i="1"/>
  <c r="AH49" i="1"/>
  <c r="AH142" i="1"/>
  <c r="AH32" i="1"/>
  <c r="AH36" i="1"/>
  <c r="AH67" i="1"/>
  <c r="AH97" i="1"/>
  <c r="AH47" i="1"/>
  <c r="AH137" i="1"/>
  <c r="L121" i="1"/>
  <c r="L137" i="1"/>
  <c r="AH54" i="1"/>
  <c r="AH141" i="1"/>
  <c r="AH135" i="1"/>
  <c r="AH113" i="1"/>
  <c r="AH33" i="1"/>
  <c r="AH41" i="1"/>
  <c r="AH65" i="1"/>
  <c r="AH77" i="1"/>
  <c r="AH22" i="1"/>
  <c r="AH24" i="1"/>
  <c r="AH131" i="1"/>
  <c r="L143" i="1"/>
  <c r="AH56" i="1"/>
  <c r="AH95" i="1"/>
  <c r="AH90" i="1"/>
  <c r="AH31" i="1"/>
  <c r="AH64" i="1"/>
  <c r="AH120" i="1"/>
  <c r="AH30" i="1"/>
  <c r="AH20" i="1"/>
  <c r="AH48" i="1"/>
  <c r="AH136" i="1"/>
  <c r="AH109" i="1"/>
  <c r="AH73" i="1"/>
  <c r="AH79" i="1"/>
  <c r="AH29" i="1"/>
  <c r="AH37" i="1"/>
  <c r="AH118" i="1"/>
  <c r="AH132" i="1"/>
  <c r="AH143" i="1"/>
  <c r="AH70" i="1"/>
  <c r="AH78" i="1"/>
  <c r="AH21" i="1"/>
  <c r="AH107" i="1"/>
  <c r="AH119" i="1"/>
  <c r="AH23" i="1"/>
  <c r="AH76" i="1"/>
  <c r="AH133" i="1"/>
  <c r="L141" i="1"/>
  <c r="AH114" i="1"/>
  <c r="AH19" i="1"/>
  <c r="AH40" i="1"/>
  <c r="AH34" i="1"/>
  <c r="AH144" i="1"/>
  <c r="AH55" i="1"/>
  <c r="AH108" i="1"/>
  <c r="AH12" i="1" l="1"/>
  <c r="BH12" i="2"/>
  <c r="AT12" i="2" s="1"/>
  <c r="AL12" i="2"/>
  <c r="AB2" i="2"/>
  <c r="AR2" i="2"/>
  <c r="AF3" i="2"/>
  <c r="AV3" i="2"/>
  <c r="X3" i="2"/>
  <c r="AN3" i="2"/>
  <c r="BB12" i="2"/>
  <c r="AN12" i="2" s="1"/>
  <c r="AB12" i="2"/>
  <c r="BF12" i="2" s="1"/>
  <c r="AR12" i="2" s="1"/>
  <c r="Z10" i="2"/>
  <c r="BD10" i="2" s="1"/>
  <c r="AP10" i="2"/>
  <c r="Z8" i="2"/>
  <c r="BD8" i="2" s="1"/>
  <c r="AP8" i="2"/>
  <c r="BD12" i="2"/>
  <c r="AP12" i="2" s="1"/>
  <c r="AV12" i="2"/>
  <c r="AR9" i="2"/>
  <c r="AV9" i="2"/>
  <c r="AF7" i="2"/>
  <c r="BJ7" i="2" s="1"/>
  <c r="AV7" i="2"/>
  <c r="X9" i="2"/>
  <c r="BB9" i="2" s="1"/>
  <c r="AN9" i="2"/>
  <c r="X7" i="2"/>
  <c r="BB7" i="2" s="1"/>
  <c r="AN7" i="2"/>
  <c r="Z5" i="2"/>
  <c r="AP5" i="2"/>
  <c r="AD10" i="2"/>
  <c r="BH10" i="2" s="1"/>
  <c r="AT10" i="2"/>
  <c r="V10" i="2"/>
  <c r="AZ10" i="2" s="1"/>
  <c r="AL10" i="2"/>
  <c r="Z9" i="2"/>
  <c r="BD9" i="2" s="1"/>
  <c r="AR10" i="2"/>
  <c r="AB4" i="2"/>
  <c r="AR4" i="2"/>
  <c r="AP9" i="2"/>
  <c r="AV8" i="2"/>
  <c r="AN8" i="2"/>
  <c r="AF8" i="2"/>
  <c r="BJ8" i="2" s="1"/>
  <c r="AT7" i="2"/>
  <c r="AL7" i="2"/>
  <c r="AD7" i="2"/>
  <c r="BH7" i="2" s="1"/>
  <c r="V7" i="2"/>
  <c r="AZ7" i="2" s="1"/>
  <c r="AR7" i="2"/>
  <c r="AT5" i="2"/>
  <c r="AL5" i="2"/>
  <c r="AB9" i="2" l="1"/>
  <c r="BF9" i="2" s="1"/>
  <c r="AB10" i="2"/>
  <c r="BF10" i="2" s="1"/>
  <c r="AB8" i="2"/>
  <c r="BF8" i="2" s="1"/>
  <c r="AB5" i="2"/>
  <c r="AR5" i="2"/>
  <c r="AW5" i="2" s="1"/>
  <c r="AR8" i="2"/>
  <c r="AW6" i="2" s="1"/>
  <c r="AF43" i="2" l="1"/>
  <c r="AF15" i="2"/>
  <c r="AU61" i="2"/>
  <c r="AF62" i="2"/>
  <c r="AS62" i="2"/>
  <c r="AS61" i="2"/>
  <c r="AD43" i="2"/>
  <c r="AF61" i="2"/>
  <c r="AS63" i="2"/>
  <c r="AD62" i="2"/>
  <c r="AF63" i="2"/>
  <c r="AD64" i="2"/>
  <c r="AD61" i="2"/>
  <c r="AS64" i="2"/>
  <c r="AF64" i="2"/>
  <c r="AD20" i="2"/>
  <c r="AD42" i="2"/>
  <c r="AF20" i="2"/>
  <c r="AF42" i="2"/>
  <c r="AD63" i="2" l="1"/>
  <c r="BH63" i="2" s="1"/>
  <c r="AV13" i="2"/>
  <c r="AF13" i="2"/>
  <c r="BJ13" i="2" s="1"/>
  <c r="AE42" i="2"/>
  <c r="AU42" i="2"/>
  <c r="BJ42" i="2" s="1"/>
  <c r="AV42" i="2" s="1"/>
  <c r="BH61" i="2"/>
  <c r="AT61" i="2" s="1"/>
  <c r="AS43" i="2"/>
  <c r="BH43" i="2" s="1"/>
  <c r="AT43" i="2" s="1"/>
  <c r="AC43" i="2"/>
  <c r="AE20" i="2"/>
  <c r="AU20" i="2"/>
  <c r="BJ20" i="2" s="1"/>
  <c r="AV20" i="2" s="1"/>
  <c r="BH64" i="2"/>
  <c r="AT64" i="2" s="1"/>
  <c r="AF14" i="2"/>
  <c r="BJ14" i="2" s="1"/>
  <c r="AV14" i="2" s="1"/>
  <c r="AE43" i="2"/>
  <c r="AU43" i="2"/>
  <c r="BJ43" i="2" s="1"/>
  <c r="AV43" i="2" s="1"/>
  <c r="BJ61" i="2"/>
  <c r="AV61" i="2" s="1"/>
  <c r="AT13" i="2"/>
  <c r="AD13" i="2"/>
  <c r="BH13" i="2" s="1"/>
  <c r="AD14" i="2"/>
  <c r="BH14" i="2" s="1"/>
  <c r="AS20" i="2"/>
  <c r="BH20" i="2" s="1"/>
  <c r="AT20" i="2" s="1"/>
  <c r="AC20" i="2"/>
  <c r="AS42" i="2"/>
  <c r="BH42" i="2" s="1"/>
  <c r="AT42" i="2" s="1"/>
  <c r="AC42" i="2"/>
  <c r="AI83" i="2"/>
  <c r="BH62" i="2"/>
  <c r="AT62" i="2" s="1"/>
  <c r="V47" i="1"/>
  <c r="V56" i="1"/>
  <c r="V49" i="1"/>
  <c r="V96" i="1"/>
  <c r="V95" i="1"/>
  <c r="V54" i="1"/>
  <c r="V53" i="1"/>
  <c r="V98" i="1"/>
  <c r="AE56" i="1" l="1"/>
  <c r="V65" i="1"/>
  <c r="AE98" i="1"/>
  <c r="V64" i="1"/>
  <c r="AE47" i="1"/>
  <c r="AE53" i="1"/>
  <c r="AE95" i="1"/>
  <c r="AE49" i="1"/>
  <c r="AT14" i="2"/>
  <c r="AT63" i="2"/>
  <c r="V97" i="1"/>
  <c r="V55" i="1"/>
  <c r="X42" i="2" l="1"/>
  <c r="AB42" i="2"/>
  <c r="Z20" i="2"/>
  <c r="X20" i="2"/>
  <c r="AB20" i="2"/>
  <c r="Z42" i="2"/>
  <c r="AE55" i="1"/>
  <c r="AE57" i="1" s="1"/>
  <c r="V67" i="1"/>
  <c r="AE97" i="1"/>
  <c r="AE99" i="1" s="1"/>
  <c r="AA42" i="2" l="1"/>
  <c r="AQ42" i="2"/>
  <c r="BF42" i="2" s="1"/>
  <c r="AR42" i="2" s="1"/>
  <c r="AA20" i="2"/>
  <c r="AQ20" i="2"/>
  <c r="BF20" i="2" s="1"/>
  <c r="AR20" i="2" s="1"/>
  <c r="AO42" i="2"/>
  <c r="BD42" i="2" s="1"/>
  <c r="AP42" i="2" s="1"/>
  <c r="Y42" i="2"/>
  <c r="AO20" i="2"/>
  <c r="BD20" i="2" s="1"/>
  <c r="AP20" i="2" s="1"/>
  <c r="Y20" i="2"/>
  <c r="W42" i="2"/>
  <c r="AM42" i="2"/>
  <c r="BB42" i="2" s="1"/>
  <c r="AN42" i="2" s="1"/>
  <c r="W20" i="2"/>
  <c r="AM20" i="2"/>
  <c r="BB20" i="2" s="1"/>
  <c r="AN20" i="2" s="1"/>
  <c r="P49" i="1"/>
  <c r="T47" i="1"/>
  <c r="R47" i="1"/>
  <c r="P47" i="1"/>
  <c r="R49" i="1"/>
  <c r="T49" i="1"/>
  <c r="AB64" i="2" l="1"/>
  <c r="Z63" i="2"/>
  <c r="Z58" i="2"/>
  <c r="AD33" i="2"/>
  <c r="Z61" i="2"/>
  <c r="AB58" i="2"/>
  <c r="AB61" i="2"/>
  <c r="AD22" i="2"/>
  <c r="AD18" i="2"/>
  <c r="AB57" i="2"/>
  <c r="AO62" i="2"/>
  <c r="AB62" i="2"/>
  <c r="AF57" i="2"/>
  <c r="AB43" i="2"/>
  <c r="X64" i="2"/>
  <c r="AD25" i="2"/>
  <c r="AO64" i="2"/>
  <c r="AF18" i="2"/>
  <c r="AF45" i="2"/>
  <c r="AF38" i="2"/>
  <c r="AF29" i="2"/>
  <c r="AD34" i="2"/>
  <c r="AO61" i="2"/>
  <c r="AU63" i="2"/>
  <c r="BJ63" i="2" s="1"/>
  <c r="AV63" i="2" s="1"/>
  <c r="Z64" i="2"/>
  <c r="AF23" i="2"/>
  <c r="AD41" i="2"/>
  <c r="AD21" i="2"/>
  <c r="X57" i="2"/>
  <c r="Z30" i="2"/>
  <c r="AD29" i="2"/>
  <c r="Z43" i="2"/>
  <c r="AF24" i="2"/>
  <c r="AB63" i="2"/>
  <c r="AD36" i="2"/>
  <c r="AD45" i="2"/>
  <c r="AD28" i="2"/>
  <c r="AU62" i="2"/>
  <c r="BJ62" i="2" s="1"/>
  <c r="AV62" i="2" s="1"/>
  <c r="AD30" i="2"/>
  <c r="AD54" i="2"/>
  <c r="AD86" i="2" s="1"/>
  <c r="BH86" i="2" s="1"/>
  <c r="AF44" i="2"/>
  <c r="AF34" i="2"/>
  <c r="AD57" i="2"/>
  <c r="X63" i="2"/>
  <c r="AF54" i="2"/>
  <c r="AF86" i="2" s="1"/>
  <c r="BJ86" i="2" s="1"/>
  <c r="AD49" i="2"/>
  <c r="AD40" i="2"/>
  <c r="Z62" i="2"/>
  <c r="Z57" i="2"/>
  <c r="AF16" i="2"/>
  <c r="AF27" i="2"/>
  <c r="AD32" i="2"/>
  <c r="AD39" i="2"/>
  <c r="AD19" i="2"/>
  <c r="AD44" i="2"/>
  <c r="AQ61" i="2"/>
  <c r="AD31" i="2"/>
  <c r="AF58" i="2"/>
  <c r="AQ63" i="2"/>
  <c r="AF22" i="2"/>
  <c r="AF36" i="2"/>
  <c r="AF25" i="2"/>
  <c r="AF41" i="2"/>
  <c r="AF33" i="2"/>
  <c r="X43" i="2"/>
  <c r="AM62" i="2"/>
  <c r="AF30" i="2"/>
  <c r="X61" i="2"/>
  <c r="AF49" i="2"/>
  <c r="AF32" i="2"/>
  <c r="AD17" i="2"/>
  <c r="AB30" i="2"/>
  <c r="AD24" i="2"/>
  <c r="AM64" i="2"/>
  <c r="AM63" i="2"/>
  <c r="AF17" i="2"/>
  <c r="AQ62" i="2"/>
  <c r="AF40" i="2"/>
  <c r="AD38" i="2"/>
  <c r="AF50" i="2"/>
  <c r="AF19" i="2"/>
  <c r="AD50" i="2"/>
  <c r="AD58" i="2"/>
  <c r="AF31" i="2"/>
  <c r="AD23" i="2"/>
  <c r="AM61" i="2"/>
  <c r="AO63" i="2"/>
  <c r="AF28" i="2"/>
  <c r="AC49" i="1"/>
  <c r="Y47" i="1"/>
  <c r="AC47" i="1"/>
  <c r="Y49" i="1"/>
  <c r="AA49" i="1"/>
  <c r="AA47" i="1"/>
  <c r="X30" i="2"/>
  <c r="AD15" i="2"/>
  <c r="AF21" i="2"/>
  <c r="AD27" i="2"/>
  <c r="AQ64" i="2"/>
  <c r="AU64" i="2"/>
  <c r="BJ64" i="2" s="1"/>
  <c r="AV64" i="2" s="1"/>
  <c r="X62" i="2"/>
  <c r="AD16" i="2"/>
  <c r="AF39" i="2"/>
  <c r="X58" i="2"/>
  <c r="AT49" i="2"/>
  <c r="AV49" i="2"/>
  <c r="AV50" i="2"/>
  <c r="AT50" i="2"/>
  <c r="AT86" i="2" l="1"/>
  <c r="AV86" i="2"/>
  <c r="BF64" i="2"/>
  <c r="AR64" i="2" s="1"/>
  <c r="BD63" i="2"/>
  <c r="AP63" i="2" s="1"/>
  <c r="BF61" i="2"/>
  <c r="AR61" i="2" s="1"/>
  <c r="BB64" i="2"/>
  <c r="AN64" i="2" s="1"/>
  <c r="BB61" i="2"/>
  <c r="AN61" i="2" s="1"/>
  <c r="BF62" i="2"/>
  <c r="AR62" i="2" s="1"/>
  <c r="BB62" i="2"/>
  <c r="AN62" i="2" s="1"/>
  <c r="BB63" i="2"/>
  <c r="AN63" i="2" s="1"/>
  <c r="BF63" i="2"/>
  <c r="AR63" i="2" s="1"/>
  <c r="BD61" i="2"/>
  <c r="AP61" i="2" s="1"/>
  <c r="BD64" i="2"/>
  <c r="AP64" i="2" s="1"/>
  <c r="AD26" i="2"/>
  <c r="AN13" i="2"/>
  <c r="X13" i="2"/>
  <c r="BB13" i="2" s="1"/>
  <c r="AS46" i="2"/>
  <c r="AC46" i="2"/>
  <c r="AF46" i="2"/>
  <c r="AO43" i="2"/>
  <c r="BD43" i="2" s="1"/>
  <c r="AP43" i="2" s="1"/>
  <c r="Y43" i="2"/>
  <c r="AS41" i="2"/>
  <c r="BH41" i="2" s="1"/>
  <c r="AT41" i="2" s="1"/>
  <c r="AC41" i="2"/>
  <c r="AS22" i="2"/>
  <c r="BH22" i="2" s="1"/>
  <c r="AT22" i="2" s="1"/>
  <c r="AC22" i="2"/>
  <c r="AA30" i="2"/>
  <c r="AQ30" i="2"/>
  <c r="BF30" i="2" s="1"/>
  <c r="AR30" i="2" s="1"/>
  <c r="W43" i="2"/>
  <c r="AM43" i="2"/>
  <c r="BB43" i="2" s="1"/>
  <c r="AN43" i="2" s="1"/>
  <c r="AD35" i="2"/>
  <c r="AU39" i="2"/>
  <c r="BJ39" i="2" s="1"/>
  <c r="AV39" i="2" s="1"/>
  <c r="AE39" i="2"/>
  <c r="AE23" i="2"/>
  <c r="AU23" i="2"/>
  <c r="BJ23" i="2" s="1"/>
  <c r="AV23" i="2" s="1"/>
  <c r="W30" i="2"/>
  <c r="AM30" i="2"/>
  <c r="BB30" i="2" s="1"/>
  <c r="AN30" i="2" s="1"/>
  <c r="AE24" i="2"/>
  <c r="AU24" i="2"/>
  <c r="BJ24" i="2" s="1"/>
  <c r="AV24" i="2" s="1"/>
  <c r="Z13" i="2"/>
  <c r="BD13" i="2" s="1"/>
  <c r="AP13" i="2"/>
  <c r="AS37" i="2"/>
  <c r="AC37" i="2"/>
  <c r="AE21" i="2"/>
  <c r="AU21" i="2"/>
  <c r="BJ21" i="2" s="1"/>
  <c r="AV21" i="2" s="1"/>
  <c r="AS24" i="2"/>
  <c r="BH24" i="2" s="1"/>
  <c r="AT24" i="2" s="1"/>
  <c r="AC24" i="2"/>
  <c r="AE44" i="2"/>
  <c r="AU44" i="2"/>
  <c r="BJ44" i="2" s="1"/>
  <c r="AV44" i="2" s="1"/>
  <c r="AD46" i="2"/>
  <c r="AC18" i="2"/>
  <c r="AS18" i="2"/>
  <c r="BH18" i="2" s="1"/>
  <c r="AT18" i="2" s="1"/>
  <c r="AE45" i="2"/>
  <c r="AU45" i="2"/>
  <c r="BJ45" i="2" s="1"/>
  <c r="AV45" i="2" s="1"/>
  <c r="AF37" i="2"/>
  <c r="AE35" i="2"/>
  <c r="AU35" i="2"/>
  <c r="AC16" i="2"/>
  <c r="AS16" i="2"/>
  <c r="BH16" i="2" s="1"/>
  <c r="AT16" i="2" s="1"/>
  <c r="AS40" i="2"/>
  <c r="BH40" i="2" s="1"/>
  <c r="AT40" i="2" s="1"/>
  <c r="AC40" i="2"/>
  <c r="AA43" i="2"/>
  <c r="AQ43" i="2"/>
  <c r="BF43" i="2" s="1"/>
  <c r="AR43" i="2" s="1"/>
  <c r="AE46" i="2"/>
  <c r="AU46" i="2"/>
  <c r="AE28" i="2"/>
  <c r="AU28" i="2"/>
  <c r="BJ28" i="2" s="1"/>
  <c r="AV28" i="2" s="1"/>
  <c r="AE19" i="2"/>
  <c r="AU19" i="2"/>
  <c r="BJ19" i="2" s="1"/>
  <c r="AV19" i="2" s="1"/>
  <c r="Z14" i="2"/>
  <c r="BD14" i="2" s="1"/>
  <c r="AP14" i="2" s="1"/>
  <c r="AS44" i="2"/>
  <c r="BH44" i="2" s="1"/>
  <c r="AT44" i="2" s="1"/>
  <c r="AC44" i="2"/>
  <c r="AS25" i="2"/>
  <c r="BH25" i="2" s="1"/>
  <c r="AT25" i="2" s="1"/>
  <c r="AC25" i="2"/>
  <c r="AB14" i="2"/>
  <c r="BF14" i="2" s="1"/>
  <c r="AE37" i="2"/>
  <c r="AU37" i="2"/>
  <c r="AC35" i="2"/>
  <c r="AS35" i="2"/>
  <c r="AF26" i="2"/>
  <c r="AS39" i="2"/>
  <c r="BH39" i="2" s="1"/>
  <c r="AT39" i="2" s="1"/>
  <c r="AC39" i="2"/>
  <c r="AS21" i="2"/>
  <c r="BH21" i="2" s="1"/>
  <c r="AT21" i="2" s="1"/>
  <c r="AC21" i="2"/>
  <c r="AU36" i="2"/>
  <c r="BJ36" i="2" s="1"/>
  <c r="AV36" i="2" s="1"/>
  <c r="AE36" i="2"/>
  <c r="AE27" i="2"/>
  <c r="AU27" i="2"/>
  <c r="BJ27" i="2" s="1"/>
  <c r="AV27" i="2" s="1"/>
  <c r="AS45" i="2"/>
  <c r="BH45" i="2" s="1"/>
  <c r="AT45" i="2" s="1"/>
  <c r="AC45" i="2"/>
  <c r="AU16" i="2"/>
  <c r="BJ16" i="2" s="1"/>
  <c r="AV16" i="2" s="1"/>
  <c r="AE16" i="2"/>
  <c r="AS19" i="2"/>
  <c r="BH19" i="2" s="1"/>
  <c r="AT19" i="2" s="1"/>
  <c r="AC19" i="2"/>
  <c r="AE41" i="2"/>
  <c r="AU41" i="2"/>
  <c r="BJ41" i="2" s="1"/>
  <c r="AV41" i="2" s="1"/>
  <c r="AE25" i="2"/>
  <c r="AU25" i="2"/>
  <c r="BJ25" i="2" s="1"/>
  <c r="AV25" i="2" s="1"/>
  <c r="AC34" i="2"/>
  <c r="AS34" i="2"/>
  <c r="BH34" i="2" s="1"/>
  <c r="AT34" i="2" s="1"/>
  <c r="AU40" i="2"/>
  <c r="BJ40" i="2" s="1"/>
  <c r="AV40" i="2" s="1"/>
  <c r="AE40" i="2"/>
  <c r="AS36" i="2"/>
  <c r="BH36" i="2" s="1"/>
  <c r="AT36" i="2" s="1"/>
  <c r="AC36" i="2"/>
  <c r="AE31" i="2"/>
  <c r="AU31" i="2"/>
  <c r="BJ31" i="2" s="1"/>
  <c r="AV31" i="2" s="1"/>
  <c r="AF35" i="2"/>
  <c r="AE22" i="2"/>
  <c r="AU22" i="2"/>
  <c r="BJ22" i="2" s="1"/>
  <c r="AV22" i="2" s="1"/>
  <c r="AU17" i="2"/>
  <c r="BJ17" i="2" s="1"/>
  <c r="AV17" i="2" s="1"/>
  <c r="AE17" i="2"/>
  <c r="AS23" i="2"/>
  <c r="BH23" i="2" s="1"/>
  <c r="AT23" i="2" s="1"/>
  <c r="AC23" i="2"/>
  <c r="AC30" i="2"/>
  <c r="AS30" i="2"/>
  <c r="BH30" i="2" s="1"/>
  <c r="AT30" i="2" s="1"/>
  <c r="AU18" i="2"/>
  <c r="BJ18" i="2" s="1"/>
  <c r="AV18" i="2" s="1"/>
  <c r="AE18" i="2"/>
  <c r="X14" i="2"/>
  <c r="BB14" i="2" s="1"/>
  <c r="AE30" i="2"/>
  <c r="AU30" i="2"/>
  <c r="BJ30" i="2" s="1"/>
  <c r="AV30" i="2" s="1"/>
  <c r="AC17" i="2"/>
  <c r="AS17" i="2"/>
  <c r="BH17" i="2" s="1"/>
  <c r="AT17" i="2" s="1"/>
  <c r="AE33" i="2"/>
  <c r="AU33" i="2"/>
  <c r="BJ33" i="2" s="1"/>
  <c r="AV33" i="2" s="1"/>
  <c r="AS38" i="2"/>
  <c r="BH38" i="2" s="1"/>
  <c r="AT38" i="2" s="1"/>
  <c r="AC38" i="2"/>
  <c r="AU15" i="2"/>
  <c r="BJ15" i="2" s="1"/>
  <c r="AV15" i="2" s="1"/>
  <c r="AE15" i="2"/>
  <c r="AC15" i="2"/>
  <c r="AS15" i="2"/>
  <c r="BH15" i="2" s="1"/>
  <c r="AT15" i="2" s="1"/>
  <c r="AC32" i="2"/>
  <c r="AS32" i="2"/>
  <c r="BH32" i="2" s="1"/>
  <c r="AT32" i="2" s="1"/>
  <c r="AC33" i="2"/>
  <c r="AS33" i="2"/>
  <c r="BH33" i="2" s="1"/>
  <c r="AT33" i="2" s="1"/>
  <c r="Y30" i="2"/>
  <c r="AO30" i="2"/>
  <c r="BD30" i="2" s="1"/>
  <c r="AP30" i="2" s="1"/>
  <c r="AS27" i="2"/>
  <c r="BH27" i="2" s="1"/>
  <c r="AT27" i="2" s="1"/>
  <c r="AC27" i="2"/>
  <c r="AS26" i="2"/>
  <c r="AC26" i="2"/>
  <c r="AC29" i="2"/>
  <c r="AS29" i="2"/>
  <c r="BH29" i="2" s="1"/>
  <c r="AT29" i="2" s="1"/>
  <c r="AD37" i="2"/>
  <c r="AE29" i="2"/>
  <c r="AU29" i="2"/>
  <c r="BJ29" i="2" s="1"/>
  <c r="AV29" i="2" s="1"/>
  <c r="AE26" i="2"/>
  <c r="AU26" i="2"/>
  <c r="AB13" i="2"/>
  <c r="BF13" i="2" s="1"/>
  <c r="AR13" i="2"/>
  <c r="AS28" i="2"/>
  <c r="BH28" i="2" s="1"/>
  <c r="AT28" i="2" s="1"/>
  <c r="AC28" i="2"/>
  <c r="AE38" i="2"/>
  <c r="AU38" i="2"/>
  <c r="BJ38" i="2" s="1"/>
  <c r="AV38" i="2" s="1"/>
  <c r="AE34" i="2"/>
  <c r="AU34" i="2"/>
  <c r="BJ34" i="2" s="1"/>
  <c r="AV34" i="2" s="1"/>
  <c r="BD62" i="2"/>
  <c r="AP62" i="2" s="1"/>
  <c r="AU32" i="2"/>
  <c r="BJ32" i="2" s="1"/>
  <c r="AV32" i="2" s="1"/>
  <c r="AE32" i="2"/>
  <c r="AC31" i="2"/>
  <c r="AS31" i="2"/>
  <c r="BH31" i="2" s="1"/>
  <c r="AT31" i="2" s="1"/>
  <c r="V78" i="1"/>
  <c r="R55" i="1"/>
  <c r="P98" i="1"/>
  <c r="V45" i="1"/>
  <c r="V36" i="1"/>
  <c r="T56" i="1"/>
  <c r="T96" i="1"/>
  <c r="R54" i="1"/>
  <c r="V37" i="1"/>
  <c r="V32" i="1"/>
  <c r="V14" i="1"/>
  <c r="V22" i="1"/>
  <c r="T97" i="1"/>
  <c r="P96" i="1"/>
  <c r="V13" i="1"/>
  <c r="V30" i="1"/>
  <c r="V34" i="1"/>
  <c r="T53" i="1"/>
  <c r="V20" i="1"/>
  <c r="T55" i="1"/>
  <c r="P54" i="1"/>
  <c r="V120" i="1"/>
  <c r="V17" i="1"/>
  <c r="T98" i="1"/>
  <c r="R96" i="1"/>
  <c r="P53" i="1"/>
  <c r="R53" i="1"/>
  <c r="V41" i="1"/>
  <c r="P97" i="1"/>
  <c r="P56" i="1"/>
  <c r="V29" i="1"/>
  <c r="T95" i="1"/>
  <c r="R98" i="1"/>
  <c r="T54" i="1"/>
  <c r="V23" i="1"/>
  <c r="V21" i="1"/>
  <c r="P55" i="1"/>
  <c r="V33" i="1"/>
  <c r="R56" i="1"/>
  <c r="P95" i="1"/>
  <c r="R95" i="1"/>
  <c r="R97" i="1"/>
  <c r="V46" i="1"/>
  <c r="V18" i="1"/>
  <c r="V24" i="1"/>
  <c r="V31" i="1"/>
  <c r="V40" i="1"/>
  <c r="AE78" i="1" l="1"/>
  <c r="AE120" i="1"/>
  <c r="BJ46" i="2"/>
  <c r="AV46" i="2" s="1"/>
  <c r="AV71" i="2" s="1"/>
  <c r="BH26" i="2"/>
  <c r="AT26" i="2" s="1"/>
  <c r="AT68" i="2" s="1"/>
  <c r="BH35" i="2"/>
  <c r="AT35" i="2" s="1"/>
  <c r="AE13" i="1"/>
  <c r="AE22" i="1"/>
  <c r="AA53" i="1"/>
  <c r="AA95" i="1"/>
  <c r="AE21" i="1"/>
  <c r="AE14" i="1"/>
  <c r="AE40" i="1"/>
  <c r="P64" i="1"/>
  <c r="AE32" i="1"/>
  <c r="Y53" i="1"/>
  <c r="Y95" i="1"/>
  <c r="AE23" i="1"/>
  <c r="AE37" i="1"/>
  <c r="AE31" i="1"/>
  <c r="AC55" i="1"/>
  <c r="T67" i="1"/>
  <c r="AC97" i="1"/>
  <c r="R64" i="1"/>
  <c r="AE20" i="1"/>
  <c r="T64" i="1"/>
  <c r="AE24" i="1"/>
  <c r="AA56" i="1"/>
  <c r="R65" i="1"/>
  <c r="AA98" i="1"/>
  <c r="AC56" i="1"/>
  <c r="T65" i="1"/>
  <c r="AC98" i="1"/>
  <c r="AC53" i="1"/>
  <c r="AC95" i="1"/>
  <c r="AE36" i="1"/>
  <c r="AE18" i="1"/>
  <c r="AE33" i="1"/>
  <c r="AE29" i="1"/>
  <c r="AE45" i="1"/>
  <c r="AE17" i="1"/>
  <c r="AE34" i="1"/>
  <c r="Y56" i="1"/>
  <c r="P65" i="1"/>
  <c r="Y98" i="1"/>
  <c r="AE46" i="1"/>
  <c r="Y55" i="1"/>
  <c r="P67" i="1"/>
  <c r="Y97" i="1"/>
  <c r="AA55" i="1"/>
  <c r="R67" i="1"/>
  <c r="AA97" i="1"/>
  <c r="AE30" i="1"/>
  <c r="AE41" i="1"/>
  <c r="AR14" i="2"/>
  <c r="BJ26" i="2"/>
  <c r="AV26" i="2" s="1"/>
  <c r="AV68" i="2" s="1"/>
  <c r="BJ37" i="2"/>
  <c r="AV37" i="2" s="1"/>
  <c r="AV70" i="2" s="1"/>
  <c r="AF69" i="2"/>
  <c r="BJ35" i="2"/>
  <c r="AV35" i="2" s="1"/>
  <c r="AV69" i="2" s="1"/>
  <c r="AF70" i="2"/>
  <c r="BH37" i="2"/>
  <c r="AT37" i="2" s="1"/>
  <c r="AD70" i="2"/>
  <c r="BH46" i="2"/>
  <c r="AT46" i="2" s="1"/>
  <c r="AD68" i="2"/>
  <c r="AD69" i="2"/>
  <c r="AN14" i="2"/>
  <c r="AF68" i="2"/>
  <c r="AD71" i="2"/>
  <c r="AF71" i="2"/>
  <c r="V48" i="1"/>
  <c r="V130" i="1"/>
  <c r="V101" i="1"/>
  <c r="V25" i="1"/>
  <c r="V35" i="1"/>
  <c r="V91" i="1"/>
  <c r="V59" i="1"/>
  <c r="AF77" i="2" l="1"/>
  <c r="BJ77" i="2" s="1"/>
  <c r="AF75" i="2"/>
  <c r="BJ75" i="2" s="1"/>
  <c r="AF74" i="2"/>
  <c r="BJ74" i="2" s="1"/>
  <c r="AF76" i="2"/>
  <c r="AD75" i="2"/>
  <c r="BH75" i="2" s="1"/>
  <c r="AD76" i="2"/>
  <c r="AD77" i="2"/>
  <c r="BH77" i="2" s="1"/>
  <c r="AD74" i="2"/>
  <c r="BH74" i="2" s="1"/>
  <c r="AC99" i="1"/>
  <c r="AC57" i="1"/>
  <c r="V106" i="1"/>
  <c r="V135" i="1"/>
  <c r="V141" i="1" s="1"/>
  <c r="AE141" i="1" s="1"/>
  <c r="AE25" i="1"/>
  <c r="AE91" i="1"/>
  <c r="AE35" i="1"/>
  <c r="AE48" i="1"/>
  <c r="Y99" i="1"/>
  <c r="AE42" i="1"/>
  <c r="AA57" i="1"/>
  <c r="Y57" i="1"/>
  <c r="AA99" i="1"/>
  <c r="AT71" i="2"/>
  <c r="AT69" i="2"/>
  <c r="AT70" i="2"/>
  <c r="V132" i="1"/>
  <c r="V104" i="1"/>
  <c r="V60" i="1"/>
  <c r="V61" i="1"/>
  <c r="V102" i="1"/>
  <c r="V103" i="1"/>
  <c r="V62" i="1"/>
  <c r="V131" i="1"/>
  <c r="V133" i="1"/>
  <c r="AF81" i="2" l="1"/>
  <c r="BJ81" i="2" s="1"/>
  <c r="BJ76" i="2"/>
  <c r="AV76" i="2" s="1"/>
  <c r="AV92" i="2" s="1"/>
  <c r="AD81" i="2"/>
  <c r="BH81" i="2" s="1"/>
  <c r="AT81" i="2" s="1"/>
  <c r="BH76" i="2"/>
  <c r="AT76" i="2" s="1"/>
  <c r="AD98" i="2"/>
  <c r="V109" i="1"/>
  <c r="V138" i="1"/>
  <c r="V144" i="1" s="1"/>
  <c r="AE144" i="1" s="1"/>
  <c r="V137" i="1"/>
  <c r="AE137" i="1" s="1"/>
  <c r="AE139" i="1" s="1"/>
  <c r="V107" i="1"/>
  <c r="V136" i="1"/>
  <c r="V142" i="1" s="1"/>
  <c r="AE142" i="1" s="1"/>
  <c r="V114" i="1"/>
  <c r="V72" i="1"/>
  <c r="V108" i="1"/>
  <c r="V66" i="1"/>
  <c r="AF98" i="2" l="1"/>
  <c r="AV81" i="2"/>
  <c r="AV98" i="2" s="1"/>
  <c r="AT98" i="2"/>
  <c r="AE108" i="1"/>
  <c r="AE110" i="1" s="1"/>
  <c r="AE66" i="1"/>
  <c r="AE68" i="1" s="1"/>
  <c r="AT92" i="2"/>
  <c r="AE72" i="1"/>
  <c r="AE114" i="1"/>
  <c r="V143" i="1"/>
  <c r="AE143" i="1" s="1"/>
  <c r="AE145" i="1" s="1"/>
  <c r="V33" i="2" l="1"/>
  <c r="E45" i="3"/>
  <c r="V63" i="2"/>
  <c r="V17" i="2"/>
  <c r="V15" i="2"/>
  <c r="E66" i="3"/>
  <c r="AK61" i="2" s="1"/>
  <c r="V62" i="2"/>
  <c r="V19" i="2"/>
  <c r="V61" i="2"/>
  <c r="V34" i="2"/>
  <c r="V32" i="2"/>
  <c r="V22" i="2"/>
  <c r="V16" i="2"/>
  <c r="V29" i="2"/>
  <c r="V38" i="2"/>
  <c r="V30" i="2"/>
  <c r="V23" i="2"/>
  <c r="V21" i="2"/>
  <c r="E68" i="3"/>
  <c r="AK62" i="2" s="1"/>
  <c r="E70" i="3"/>
  <c r="AK64" i="2" s="1"/>
  <c r="V41" i="2"/>
  <c r="V45" i="2"/>
  <c r="V43" i="2"/>
  <c r="V36" i="2"/>
  <c r="V24" i="2"/>
  <c r="V27" i="2"/>
  <c r="V31" i="2"/>
  <c r="V28" i="2"/>
  <c r="V18" i="2"/>
  <c r="E69" i="3"/>
  <c r="AK63" i="2" s="1"/>
  <c r="V64" i="2"/>
  <c r="V39" i="2"/>
  <c r="V40" i="2"/>
  <c r="V44" i="2"/>
  <c r="V25" i="2"/>
  <c r="E22" i="3"/>
  <c r="V42" i="2"/>
  <c r="V20" i="2"/>
  <c r="E44" i="3"/>
  <c r="AZ63" i="2" l="1"/>
  <c r="AL63" i="2" s="1"/>
  <c r="AZ62" i="2"/>
  <c r="AL62" i="2" s="1"/>
  <c r="AZ61" i="2"/>
  <c r="AL61" i="2" s="1"/>
  <c r="AK42" i="2"/>
  <c r="AZ42" i="2" s="1"/>
  <c r="AL42" i="2" s="1"/>
  <c r="U42" i="2"/>
  <c r="V35" i="2"/>
  <c r="AL13" i="2"/>
  <c r="V13" i="2"/>
  <c r="AZ13" i="2" s="1"/>
  <c r="V37" i="2"/>
  <c r="V26" i="2"/>
  <c r="V46" i="2"/>
  <c r="AI73" i="2"/>
  <c r="AI78" i="2"/>
  <c r="AZ64" i="2"/>
  <c r="AL64" i="2" s="1"/>
  <c r="AK20" i="2"/>
  <c r="AZ20" i="2" s="1"/>
  <c r="AL20" i="2" s="1"/>
  <c r="U20" i="2"/>
  <c r="V14" i="2"/>
  <c r="AZ14" i="2" s="1"/>
  <c r="AK43" i="2"/>
  <c r="AZ43" i="2" s="1"/>
  <c r="AL43" i="2" s="1"/>
  <c r="U43" i="2"/>
  <c r="N56" i="1"/>
  <c r="N97" i="1"/>
  <c r="N47" i="1"/>
  <c r="N49" i="1"/>
  <c r="N55" i="1"/>
  <c r="N54" i="1"/>
  <c r="N96" i="1"/>
  <c r="N95" i="1"/>
  <c r="N98" i="1"/>
  <c r="N53" i="1"/>
  <c r="W47" i="1" l="1"/>
  <c r="W53" i="1"/>
  <c r="W95" i="1"/>
  <c r="W55" i="1"/>
  <c r="N67" i="1"/>
  <c r="W97" i="1"/>
  <c r="N64" i="1"/>
  <c r="W49" i="1"/>
  <c r="W56" i="1"/>
  <c r="N65" i="1"/>
  <c r="W98" i="1"/>
  <c r="AL14" i="2"/>
  <c r="V71" i="2"/>
  <c r="V68" i="2"/>
  <c r="V69" i="2"/>
  <c r="V70" i="2"/>
  <c r="V77" i="2" l="1"/>
  <c r="V76" i="2"/>
  <c r="V75" i="2"/>
  <c r="V74" i="2"/>
  <c r="W57" i="1"/>
  <c r="W99" i="1"/>
  <c r="AB38" i="2" l="1"/>
  <c r="E26" i="3"/>
  <c r="Z31" i="2"/>
  <c r="Z16" i="2"/>
  <c r="E18" i="3"/>
  <c r="AD55" i="2"/>
  <c r="AD87" i="2" s="1"/>
  <c r="BH87" i="2" s="1"/>
  <c r="X17" i="2"/>
  <c r="AB44" i="2"/>
  <c r="E47" i="3"/>
  <c r="E25" i="3"/>
  <c r="V56" i="2"/>
  <c r="E37" i="3"/>
  <c r="E58" i="3"/>
  <c r="E41" i="3"/>
  <c r="Z23" i="2"/>
  <c r="E34" i="3"/>
  <c r="X52" i="2"/>
  <c r="X84" i="2" s="1"/>
  <c r="BB84" i="2" s="1"/>
  <c r="X31" i="2"/>
  <c r="X49" i="2"/>
  <c r="Z17" i="2"/>
  <c r="E43" i="3"/>
  <c r="Z33" i="2"/>
  <c r="AB50" i="2"/>
  <c r="AB36" i="2"/>
  <c r="X27" i="2"/>
  <c r="Z54" i="2"/>
  <c r="X45" i="2"/>
  <c r="Z53" i="2"/>
  <c r="Z85" i="2" s="1"/>
  <c r="X25" i="2"/>
  <c r="E27" i="3"/>
  <c r="E42" i="3"/>
  <c r="AB54" i="2"/>
  <c r="AB86" i="2" s="1"/>
  <c r="BF86" i="2" s="1"/>
  <c r="E17" i="3"/>
  <c r="AB31" i="2"/>
  <c r="E56" i="3"/>
  <c r="Z45" i="2"/>
  <c r="AB25" i="2"/>
  <c r="Z50" i="2"/>
  <c r="AB32" i="2"/>
  <c r="E20" i="3"/>
  <c r="X33" i="2"/>
  <c r="Z24" i="2"/>
  <c r="X50" i="2"/>
  <c r="V55" i="2"/>
  <c r="V87" i="2" s="1"/>
  <c r="AZ87" i="2" s="1"/>
  <c r="Z25" i="2"/>
  <c r="AB53" i="2"/>
  <c r="AB85" i="2" s="1"/>
  <c r="BF85" i="2" s="1"/>
  <c r="AB34" i="2"/>
  <c r="AB24" i="2"/>
  <c r="AB23" i="2"/>
  <c r="Z41" i="2"/>
  <c r="E30" i="3"/>
  <c r="Z32" i="2"/>
  <c r="E19" i="3"/>
  <c r="E39" i="3"/>
  <c r="AB27" i="2"/>
  <c r="E38" i="3"/>
  <c r="V52" i="2"/>
  <c r="X19" i="2"/>
  <c r="AD56" i="2"/>
  <c r="Z36" i="2"/>
  <c r="E23" i="3"/>
  <c r="AF53" i="2"/>
  <c r="AB55" i="2"/>
  <c r="X16" i="2"/>
  <c r="X21" i="2"/>
  <c r="E48" i="3"/>
  <c r="V57" i="2"/>
  <c r="AB56" i="2"/>
  <c r="AB49" i="2"/>
  <c r="Z15" i="2"/>
  <c r="X24" i="2"/>
  <c r="Z39" i="2"/>
  <c r="AB18" i="2"/>
  <c r="E40" i="3"/>
  <c r="AB28" i="2"/>
  <c r="E33" i="3"/>
  <c r="Z52" i="2"/>
  <c r="Z84" i="2" s="1"/>
  <c r="Z44" i="2"/>
  <c r="E24" i="3"/>
  <c r="X41" i="2"/>
  <c r="AB45" i="2"/>
  <c r="X15" i="2"/>
  <c r="E31" i="3"/>
  <c r="Z29" i="2"/>
  <c r="E55" i="3"/>
  <c r="AB21" i="2"/>
  <c r="X40" i="2"/>
  <c r="AB19" i="2"/>
  <c r="X22" i="2"/>
  <c r="E60" i="3"/>
  <c r="Z21" i="2"/>
  <c r="AD52" i="2"/>
  <c r="V54" i="2"/>
  <c r="V86" i="2" s="1"/>
  <c r="AZ86" i="2" s="1"/>
  <c r="AB41" i="2"/>
  <c r="X34" i="2"/>
  <c r="E32" i="3"/>
  <c r="Z27" i="2"/>
  <c r="AF56" i="2"/>
  <c r="Z34" i="2"/>
  <c r="E36" i="3"/>
  <c r="AB16" i="2"/>
  <c r="E46" i="3"/>
  <c r="X36" i="2"/>
  <c r="AB29" i="2"/>
  <c r="E57" i="3"/>
  <c r="X56" i="2"/>
  <c r="E21" i="3"/>
  <c r="X55" i="2"/>
  <c r="X87" i="2" s="1"/>
  <c r="BB87" i="2" s="1"/>
  <c r="E29" i="3"/>
  <c r="V53" i="2"/>
  <c r="V85" i="2" s="1"/>
  <c r="AZ85" i="2" s="1"/>
  <c r="X53" i="2"/>
  <c r="Z49" i="2"/>
  <c r="AF52" i="2"/>
  <c r="AF84" i="2" s="1"/>
  <c r="BJ84" i="2" s="1"/>
  <c r="E35" i="3"/>
  <c r="AB22" i="2"/>
  <c r="E61" i="3"/>
  <c r="Z18" i="2"/>
  <c r="Z40" i="2"/>
  <c r="X32" i="2"/>
  <c r="X18" i="2"/>
  <c r="Z28" i="2"/>
  <c r="Z55" i="2"/>
  <c r="Z87" i="2" s="1"/>
  <c r="Z22" i="2"/>
  <c r="X29" i="2"/>
  <c r="E59" i="3"/>
  <c r="AB52" i="2"/>
  <c r="AB84" i="2" s="1"/>
  <c r="BF84" i="2" s="1"/>
  <c r="E28" i="3"/>
  <c r="AB17" i="2"/>
  <c r="AB15" i="2"/>
  <c r="V50" i="2"/>
  <c r="X23" i="2"/>
  <c r="X54" i="2"/>
  <c r="X86" i="2" s="1"/>
  <c r="BB86" i="2" s="1"/>
  <c r="AD53" i="2"/>
  <c r="AD85" i="2" s="1"/>
  <c r="BH85" i="2" s="1"/>
  <c r="Z56" i="2"/>
  <c r="Z38" i="2"/>
  <c r="X28" i="2"/>
  <c r="V58" i="2"/>
  <c r="Z19" i="2"/>
  <c r="AN49" i="2"/>
  <c r="AR50" i="2"/>
  <c r="X44" i="2"/>
  <c r="AF55" i="2"/>
  <c r="AF87" i="2" s="1"/>
  <c r="BJ87" i="2" s="1"/>
  <c r="X39" i="2"/>
  <c r="AP50" i="2"/>
  <c r="AN50" i="2"/>
  <c r="AB40" i="2"/>
  <c r="X38" i="2"/>
  <c r="AB39" i="2"/>
  <c r="AB33" i="2"/>
  <c r="AR49" i="2"/>
  <c r="AP49" i="2"/>
  <c r="AF85" i="2" l="1"/>
  <c r="BJ85" i="2" s="1"/>
  <c r="BJ53" i="2"/>
  <c r="AV53" i="2" s="1"/>
  <c r="AD84" i="2"/>
  <c r="BH84" i="2" s="1"/>
  <c r="AT84" i="2" s="1"/>
  <c r="BH52" i="2"/>
  <c r="AT52" i="2" s="1"/>
  <c r="AB87" i="2"/>
  <c r="BF87" i="2" s="1"/>
  <c r="BF55" i="2"/>
  <c r="AR55" i="2" s="1"/>
  <c r="Z86" i="2"/>
  <c r="BD54" i="2"/>
  <c r="AP54" i="2" s="1"/>
  <c r="X85" i="2"/>
  <c r="BB85" i="2" s="1"/>
  <c r="BB53" i="2"/>
  <c r="AN53" i="2" s="1"/>
  <c r="V84" i="2"/>
  <c r="AZ84" i="2" s="1"/>
  <c r="AL52" i="2"/>
  <c r="AZ52" i="2"/>
  <c r="BD87" i="2"/>
  <c r="AP87" i="2" s="1"/>
  <c r="BD86" i="2"/>
  <c r="AP86" i="2" s="1"/>
  <c r="BD84" i="2"/>
  <c r="AP84" i="2" s="1"/>
  <c r="BD85" i="2"/>
  <c r="AP85" i="2" s="1"/>
  <c r="AT87" i="2"/>
  <c r="AT85" i="2"/>
  <c r="AR86" i="2"/>
  <c r="AR84" i="2"/>
  <c r="AR87" i="2"/>
  <c r="AR85" i="2"/>
  <c r="AF82" i="2"/>
  <c r="AV87" i="2"/>
  <c r="AF79" i="2"/>
  <c r="AV84" i="2"/>
  <c r="AF80" i="2"/>
  <c r="AV85" i="2"/>
  <c r="AD80" i="2"/>
  <c r="AD79" i="2"/>
  <c r="AD96" i="2" s="1"/>
  <c r="AD82" i="2"/>
  <c r="AN86" i="2"/>
  <c r="AN84" i="2"/>
  <c r="AN85" i="2"/>
  <c r="AN87" i="2"/>
  <c r="V81" i="2"/>
  <c r="AZ81" i="2" s="1"/>
  <c r="AL81" i="2" s="1"/>
  <c r="AL86" i="2"/>
  <c r="V82" i="2"/>
  <c r="AZ82" i="2" s="1"/>
  <c r="AL82" i="2" s="1"/>
  <c r="AL87" i="2"/>
  <c r="V80" i="2"/>
  <c r="AZ80" i="2" s="1"/>
  <c r="AL80" i="2" s="1"/>
  <c r="AL85" i="2"/>
  <c r="AL84" i="2"/>
  <c r="Y15" i="2"/>
  <c r="AO15" i="2"/>
  <c r="BD15" i="2" s="1"/>
  <c r="AP15" i="2" s="1"/>
  <c r="Y29" i="2"/>
  <c r="AO29" i="2"/>
  <c r="BD29" i="2" s="1"/>
  <c r="AP29" i="2" s="1"/>
  <c r="AK27" i="2"/>
  <c r="AZ27" i="2" s="1"/>
  <c r="AL27" i="2" s="1"/>
  <c r="U27" i="2"/>
  <c r="AA23" i="2"/>
  <c r="AQ23" i="2"/>
  <c r="BF23" i="2" s="1"/>
  <c r="AR23" i="2" s="1"/>
  <c r="AA21" i="2"/>
  <c r="AQ21" i="2"/>
  <c r="BF21" i="2" s="1"/>
  <c r="AR21" i="2" s="1"/>
  <c r="Y35" i="2"/>
  <c r="AO35" i="2"/>
  <c r="AB46" i="2"/>
  <c r="U31" i="2"/>
  <c r="AK31" i="2"/>
  <c r="AZ31" i="2" s="1"/>
  <c r="AL31" i="2" s="1"/>
  <c r="AK46" i="2"/>
  <c r="AZ46" i="2" s="1"/>
  <c r="AL46" i="2" s="1"/>
  <c r="U46" i="2"/>
  <c r="AK21" i="2"/>
  <c r="AZ21" i="2" s="1"/>
  <c r="AL21" i="2" s="1"/>
  <c r="U21" i="2"/>
  <c r="AK36" i="2"/>
  <c r="AZ36" i="2" s="1"/>
  <c r="AL36" i="2" s="1"/>
  <c r="U36" i="2"/>
  <c r="AK37" i="2"/>
  <c r="AZ37" i="2" s="1"/>
  <c r="AL37" i="2" s="1"/>
  <c r="U37" i="2"/>
  <c r="V49" i="2"/>
  <c r="AL49" i="2"/>
  <c r="AL50" i="2"/>
  <c r="Y19" i="2"/>
  <c r="AO19" i="2"/>
  <c r="BD19" i="2" s="1"/>
  <c r="AP19" i="2" s="1"/>
  <c r="AO21" i="2"/>
  <c r="BD21" i="2" s="1"/>
  <c r="AP21" i="2" s="1"/>
  <c r="Y21" i="2"/>
  <c r="X37" i="2"/>
  <c r="AB26" i="2"/>
  <c r="AQ38" i="2"/>
  <c r="BF38" i="2" s="1"/>
  <c r="AR38" i="2" s="1"/>
  <c r="AA38" i="2"/>
  <c r="Y17" i="2"/>
  <c r="AO17" i="2"/>
  <c r="BD17" i="2" s="1"/>
  <c r="AP17" i="2" s="1"/>
  <c r="U15" i="2"/>
  <c r="AK15" i="2"/>
  <c r="AZ15" i="2" s="1"/>
  <c r="AL15" i="2" s="1"/>
  <c r="AK40" i="2"/>
  <c r="AZ40" i="2" s="1"/>
  <c r="AL40" i="2" s="1"/>
  <c r="U40" i="2"/>
  <c r="AM38" i="2"/>
  <c r="BB38" i="2" s="1"/>
  <c r="AN38" i="2" s="1"/>
  <c r="W38" i="2"/>
  <c r="U35" i="2"/>
  <c r="AK35" i="2"/>
  <c r="AZ35" i="2" s="1"/>
  <c r="AL35" i="2" s="1"/>
  <c r="AK23" i="2"/>
  <c r="AZ23" i="2" s="1"/>
  <c r="AL23" i="2" s="1"/>
  <c r="U23" i="2"/>
  <c r="AK45" i="2"/>
  <c r="AZ45" i="2" s="1"/>
  <c r="AL45" i="2" s="1"/>
  <c r="U45" i="2"/>
  <c r="W31" i="2"/>
  <c r="AM31" i="2"/>
  <c r="BB31" i="2" s="1"/>
  <c r="AN31" i="2" s="1"/>
  <c r="AK24" i="2"/>
  <c r="AZ24" i="2" s="1"/>
  <c r="AL24" i="2" s="1"/>
  <c r="U24" i="2"/>
  <c r="Z26" i="2"/>
  <c r="W34" i="2"/>
  <c r="AM34" i="2"/>
  <c r="BB34" i="2" s="1"/>
  <c r="AN34" i="2" s="1"/>
  <c r="Z37" i="2"/>
  <c r="Z35" i="2"/>
  <c r="AA37" i="2"/>
  <c r="AQ37" i="2"/>
  <c r="Y34" i="2"/>
  <c r="AO34" i="2"/>
  <c r="BD34" i="2" s="1"/>
  <c r="AP34" i="2" s="1"/>
  <c r="AK26" i="2"/>
  <c r="AZ26" i="2" s="1"/>
  <c r="AL26" i="2" s="1"/>
  <c r="AL68" i="2" s="1"/>
  <c r="U26" i="2"/>
  <c r="AQ16" i="2"/>
  <c r="BF16" i="2" s="1"/>
  <c r="AR16" i="2" s="1"/>
  <c r="AA16" i="2"/>
  <c r="AO23" i="2"/>
  <c r="BD23" i="2" s="1"/>
  <c r="AP23" i="2" s="1"/>
  <c r="Y23" i="2"/>
  <c r="W29" i="2"/>
  <c r="AM29" i="2"/>
  <c r="BB29" i="2" s="1"/>
  <c r="AN29" i="2" s="1"/>
  <c r="AM18" i="2"/>
  <c r="BB18" i="2" s="1"/>
  <c r="AN18" i="2" s="1"/>
  <c r="W18" i="2"/>
  <c r="AA33" i="2"/>
  <c r="AQ33" i="2"/>
  <c r="BF33" i="2" s="1"/>
  <c r="AR33" i="2" s="1"/>
  <c r="W40" i="2"/>
  <c r="AM40" i="2"/>
  <c r="BB40" i="2" s="1"/>
  <c r="AN40" i="2" s="1"/>
  <c r="Y31" i="2"/>
  <c r="AO31" i="2"/>
  <c r="BD31" i="2" s="1"/>
  <c r="AP31" i="2" s="1"/>
  <c r="Y33" i="2"/>
  <c r="AO33" i="2"/>
  <c r="BD33" i="2" s="1"/>
  <c r="AP33" i="2" s="1"/>
  <c r="AO36" i="2"/>
  <c r="BD36" i="2" s="1"/>
  <c r="AP36" i="2" s="1"/>
  <c r="Y36" i="2"/>
  <c r="AM16" i="2"/>
  <c r="BB16" i="2" s="1"/>
  <c r="AN16" i="2" s="1"/>
  <c r="W16" i="2"/>
  <c r="W28" i="2"/>
  <c r="AM28" i="2"/>
  <c r="BB28" i="2" s="1"/>
  <c r="AN28" i="2" s="1"/>
  <c r="AA29" i="2"/>
  <c r="AQ29" i="2"/>
  <c r="BF29" i="2" s="1"/>
  <c r="AR29" i="2" s="1"/>
  <c r="W27" i="2"/>
  <c r="AM27" i="2"/>
  <c r="BB27" i="2" s="1"/>
  <c r="AN27" i="2" s="1"/>
  <c r="AO45" i="2"/>
  <c r="BD45" i="2" s="1"/>
  <c r="AP45" i="2" s="1"/>
  <c r="Y45" i="2"/>
  <c r="AA40" i="2"/>
  <c r="AQ40" i="2"/>
  <c r="BF40" i="2" s="1"/>
  <c r="AR40" i="2" s="1"/>
  <c r="W26" i="2"/>
  <c r="AM26" i="2"/>
  <c r="W24" i="2"/>
  <c r="AM24" i="2"/>
  <c r="BB24" i="2" s="1"/>
  <c r="AN24" i="2" s="1"/>
  <c r="U18" i="2"/>
  <c r="AK18" i="2"/>
  <c r="AZ18" i="2" s="1"/>
  <c r="AL18" i="2" s="1"/>
  <c r="AM15" i="2"/>
  <c r="BB15" i="2" s="1"/>
  <c r="AN15" i="2" s="1"/>
  <c r="W15" i="2"/>
  <c r="W39" i="2"/>
  <c r="AM39" i="2"/>
  <c r="BB39" i="2" s="1"/>
  <c r="AN39" i="2" s="1"/>
  <c r="AA41" i="2"/>
  <c r="AQ41" i="2"/>
  <c r="BF41" i="2" s="1"/>
  <c r="AR41" i="2" s="1"/>
  <c r="AA31" i="2"/>
  <c r="AQ31" i="2"/>
  <c r="BF31" i="2" s="1"/>
  <c r="AR31" i="2" s="1"/>
  <c r="AK25" i="2"/>
  <c r="AZ25" i="2" s="1"/>
  <c r="AL25" i="2" s="1"/>
  <c r="U25" i="2"/>
  <c r="AA19" i="2"/>
  <c r="AQ19" i="2"/>
  <c r="BF19" i="2" s="1"/>
  <c r="AR19" i="2" s="1"/>
  <c r="AK39" i="2"/>
  <c r="AZ39" i="2" s="1"/>
  <c r="AL39" i="2" s="1"/>
  <c r="U39" i="2"/>
  <c r="Y16" i="2"/>
  <c r="AO16" i="2"/>
  <c r="BD16" i="2" s="1"/>
  <c r="AP16" i="2" s="1"/>
  <c r="AO28" i="2"/>
  <c r="BD28" i="2" s="1"/>
  <c r="AP28" i="2" s="1"/>
  <c r="Y28" i="2"/>
  <c r="W45" i="2"/>
  <c r="AM45" i="2"/>
  <c r="BB45" i="2" s="1"/>
  <c r="AN45" i="2" s="1"/>
  <c r="AO44" i="2"/>
  <c r="BD44" i="2" s="1"/>
  <c r="AP44" i="2" s="1"/>
  <c r="Y44" i="2"/>
  <c r="Y18" i="2"/>
  <c r="AO18" i="2"/>
  <c r="BD18" i="2" s="1"/>
  <c r="AP18" i="2" s="1"/>
  <c r="AO25" i="2"/>
  <c r="BD25" i="2" s="1"/>
  <c r="AP25" i="2" s="1"/>
  <c r="Y25" i="2"/>
  <c r="AO37" i="2"/>
  <c r="Y37" i="2"/>
  <c r="W35" i="2"/>
  <c r="AM35" i="2"/>
  <c r="AA28" i="2"/>
  <c r="AQ28" i="2"/>
  <c r="BF28" i="2" s="1"/>
  <c r="AR28" i="2" s="1"/>
  <c r="U34" i="2"/>
  <c r="AK34" i="2"/>
  <c r="AZ34" i="2" s="1"/>
  <c r="AL34" i="2" s="1"/>
  <c r="AA35" i="2"/>
  <c r="AQ35" i="2"/>
  <c r="Y32" i="2"/>
  <c r="AO32" i="2"/>
  <c r="BD32" i="2" s="1"/>
  <c r="AP32" i="2" s="1"/>
  <c r="U29" i="2"/>
  <c r="AK29" i="2"/>
  <c r="AZ29" i="2" s="1"/>
  <c r="AL29" i="2" s="1"/>
  <c r="AK38" i="2"/>
  <c r="AZ38" i="2" s="1"/>
  <c r="AL38" i="2" s="1"/>
  <c r="U38" i="2"/>
  <c r="AM17" i="2"/>
  <c r="BB17" i="2" s="1"/>
  <c r="AN17" i="2" s="1"/>
  <c r="W17" i="2"/>
  <c r="AQ34" i="2"/>
  <c r="BF34" i="2" s="1"/>
  <c r="AR34" i="2" s="1"/>
  <c r="AA34" i="2"/>
  <c r="AO38" i="2"/>
  <c r="BD38" i="2" s="1"/>
  <c r="AP38" i="2" s="1"/>
  <c r="Y38" i="2"/>
  <c r="AM32" i="2"/>
  <c r="BB32" i="2" s="1"/>
  <c r="AN32" i="2" s="1"/>
  <c r="W32" i="2"/>
  <c r="AA24" i="2"/>
  <c r="AQ24" i="2"/>
  <c r="BF24" i="2" s="1"/>
  <c r="AR24" i="2" s="1"/>
  <c r="X35" i="2"/>
  <c r="W46" i="2"/>
  <c r="AM46" i="2"/>
  <c r="X26" i="2"/>
  <c r="W33" i="2"/>
  <c r="AM33" i="2"/>
  <c r="BB33" i="2" s="1"/>
  <c r="AN33" i="2" s="1"/>
  <c r="AO39" i="2"/>
  <c r="BD39" i="2" s="1"/>
  <c r="AP39" i="2" s="1"/>
  <c r="Y39" i="2"/>
  <c r="AA45" i="2"/>
  <c r="AQ45" i="2"/>
  <c r="BF45" i="2" s="1"/>
  <c r="AR45" i="2" s="1"/>
  <c r="AB37" i="2"/>
  <c r="U32" i="2"/>
  <c r="AK32" i="2"/>
  <c r="AZ32" i="2" s="1"/>
  <c r="AL32" i="2" s="1"/>
  <c r="W44" i="2"/>
  <c r="AM44" i="2"/>
  <c r="BB44" i="2" s="1"/>
  <c r="AN44" i="2" s="1"/>
  <c r="AA36" i="2"/>
  <c r="AQ36" i="2"/>
  <c r="BF36" i="2" s="1"/>
  <c r="AR36" i="2" s="1"/>
  <c r="AQ15" i="2"/>
  <c r="BF15" i="2" s="1"/>
  <c r="AR15" i="2" s="1"/>
  <c r="AA15" i="2"/>
  <c r="AM19" i="2"/>
  <c r="BB19" i="2" s="1"/>
  <c r="AN19" i="2" s="1"/>
  <c r="W19" i="2"/>
  <c r="W21" i="2"/>
  <c r="AM21" i="2"/>
  <c r="BB21" i="2" s="1"/>
  <c r="AN21" i="2" s="1"/>
  <c r="AB35" i="2"/>
  <c r="Z46" i="2"/>
  <c r="AA25" i="2"/>
  <c r="AQ25" i="2"/>
  <c r="BF25" i="2" s="1"/>
  <c r="AR25" i="2" s="1"/>
  <c r="W22" i="2"/>
  <c r="AM22" i="2"/>
  <c r="BB22" i="2" s="1"/>
  <c r="AN22" i="2" s="1"/>
  <c r="AQ18" i="2"/>
  <c r="BF18" i="2" s="1"/>
  <c r="AR18" i="2" s="1"/>
  <c r="AA18" i="2"/>
  <c r="U33" i="2"/>
  <c r="AK33" i="2"/>
  <c r="AZ33" i="2" s="1"/>
  <c r="AL33" i="2" s="1"/>
  <c r="AO26" i="2"/>
  <c r="Y26" i="2"/>
  <c r="U19" i="2"/>
  <c r="AK19" i="2"/>
  <c r="AZ19" i="2" s="1"/>
  <c r="AL19" i="2" s="1"/>
  <c r="AK44" i="2"/>
  <c r="AZ44" i="2" s="1"/>
  <c r="AL44" i="2" s="1"/>
  <c r="U44" i="2"/>
  <c r="AO40" i="2"/>
  <c r="BD40" i="2" s="1"/>
  <c r="AP40" i="2" s="1"/>
  <c r="Y40" i="2"/>
  <c r="U30" i="2"/>
  <c r="AK30" i="2"/>
  <c r="AZ30" i="2" s="1"/>
  <c r="AL30" i="2" s="1"/>
  <c r="AM37" i="2"/>
  <c r="W37" i="2"/>
  <c r="AK22" i="2"/>
  <c r="AZ22" i="2" s="1"/>
  <c r="AL22" i="2" s="1"/>
  <c r="U22" i="2"/>
  <c r="AO27" i="2"/>
  <c r="BD27" i="2" s="1"/>
  <c r="AP27" i="2" s="1"/>
  <c r="Y27" i="2"/>
  <c r="U17" i="2"/>
  <c r="AK17" i="2"/>
  <c r="AZ17" i="2" s="1"/>
  <c r="AL17" i="2" s="1"/>
  <c r="AK28" i="2"/>
  <c r="AZ28" i="2" s="1"/>
  <c r="AL28" i="2" s="1"/>
  <c r="U28" i="2"/>
  <c r="AM41" i="2"/>
  <c r="BB41" i="2" s="1"/>
  <c r="AN41" i="2" s="1"/>
  <c r="W41" i="2"/>
  <c r="AA46" i="2"/>
  <c r="AQ46" i="2"/>
  <c r="AA26" i="2"/>
  <c r="AQ26" i="2"/>
  <c r="W23" i="2"/>
  <c r="AM23" i="2"/>
  <c r="BB23" i="2" s="1"/>
  <c r="AN23" i="2" s="1"/>
  <c r="AO22" i="2"/>
  <c r="BD22" i="2" s="1"/>
  <c r="AP22" i="2" s="1"/>
  <c r="Y22" i="2"/>
  <c r="AA22" i="2"/>
  <c r="AQ22" i="2"/>
  <c r="BF22" i="2" s="1"/>
  <c r="AR22" i="2" s="1"/>
  <c r="W36" i="2"/>
  <c r="AM36" i="2"/>
  <c r="BB36" i="2" s="1"/>
  <c r="AN36" i="2" s="1"/>
  <c r="Y41" i="2"/>
  <c r="AO41" i="2"/>
  <c r="BD41" i="2" s="1"/>
  <c r="AP41" i="2" s="1"/>
  <c r="X46" i="2"/>
  <c r="AO24" i="2"/>
  <c r="BD24" i="2" s="1"/>
  <c r="AP24" i="2" s="1"/>
  <c r="Y24" i="2"/>
  <c r="AQ17" i="2"/>
  <c r="BF17" i="2" s="1"/>
  <c r="AR17" i="2" s="1"/>
  <c r="AA17" i="2"/>
  <c r="AK41" i="2"/>
  <c r="AZ41" i="2" s="1"/>
  <c r="AL41" i="2" s="1"/>
  <c r="U41" i="2"/>
  <c r="W25" i="2"/>
  <c r="AM25" i="2"/>
  <c r="BB25" i="2" s="1"/>
  <c r="AN25" i="2" s="1"/>
  <c r="AA32" i="2"/>
  <c r="AQ32" i="2"/>
  <c r="BF32" i="2" s="1"/>
  <c r="AR32" i="2" s="1"/>
  <c r="AA27" i="2"/>
  <c r="AQ27" i="2"/>
  <c r="BF27" i="2" s="1"/>
  <c r="AR27" i="2" s="1"/>
  <c r="AO46" i="2"/>
  <c r="Y46" i="2"/>
  <c r="AQ39" i="2"/>
  <c r="BF39" i="2" s="1"/>
  <c r="AR39" i="2" s="1"/>
  <c r="AA39" i="2"/>
  <c r="U16" i="2"/>
  <c r="AK16" i="2"/>
  <c r="AZ16" i="2" s="1"/>
  <c r="AL16" i="2" s="1"/>
  <c r="AA44" i="2"/>
  <c r="AQ44" i="2"/>
  <c r="BF44" i="2" s="1"/>
  <c r="AR44" i="2" s="1"/>
  <c r="R121" i="1"/>
  <c r="R118" i="1"/>
  <c r="T120" i="1"/>
  <c r="T121" i="1"/>
  <c r="P120" i="1"/>
  <c r="P119" i="1"/>
  <c r="N114" i="1"/>
  <c r="N115" i="1"/>
  <c r="V79" i="1"/>
  <c r="N78" i="1"/>
  <c r="N77" i="1"/>
  <c r="R21" i="1"/>
  <c r="N130" i="1"/>
  <c r="P17" i="1"/>
  <c r="P30" i="1"/>
  <c r="P41" i="1"/>
  <c r="T24" i="1"/>
  <c r="P13" i="1"/>
  <c r="N29" i="1"/>
  <c r="N37" i="1"/>
  <c r="T29" i="1"/>
  <c r="R45" i="1"/>
  <c r="R36" i="1"/>
  <c r="R23" i="1"/>
  <c r="N34" i="1"/>
  <c r="P33" i="1"/>
  <c r="T33" i="1"/>
  <c r="T13" i="1"/>
  <c r="T34" i="1"/>
  <c r="R18" i="1"/>
  <c r="T23" i="1"/>
  <c r="T31" i="1"/>
  <c r="P36" i="1"/>
  <c r="R30" i="1"/>
  <c r="R22" i="1"/>
  <c r="R77" i="1"/>
  <c r="T77" i="1"/>
  <c r="N71" i="1"/>
  <c r="N118" i="1"/>
  <c r="R32" i="1"/>
  <c r="N41" i="1"/>
  <c r="N25" i="1"/>
  <c r="N36" i="1"/>
  <c r="T36" i="1"/>
  <c r="T22" i="1"/>
  <c r="T37" i="1"/>
  <c r="P34" i="1"/>
  <c r="R79" i="1"/>
  <c r="R76" i="1"/>
  <c r="T78" i="1"/>
  <c r="T79" i="1"/>
  <c r="P78" i="1"/>
  <c r="P77" i="1"/>
  <c r="N72" i="1"/>
  <c r="N73" i="1"/>
  <c r="V121" i="1"/>
  <c r="N120" i="1"/>
  <c r="N119" i="1"/>
  <c r="T32" i="1"/>
  <c r="N101" i="1"/>
  <c r="P45" i="1"/>
  <c r="T17" i="1"/>
  <c r="R31" i="1"/>
  <c r="N40" i="1"/>
  <c r="N22" i="1"/>
  <c r="N20" i="1"/>
  <c r="N23" i="1"/>
  <c r="N33" i="1"/>
  <c r="R29" i="1"/>
  <c r="P20" i="1"/>
  <c r="P40" i="1"/>
  <c r="N31" i="1"/>
  <c r="P18" i="1"/>
  <c r="T18" i="1"/>
  <c r="R46" i="1"/>
  <c r="T41" i="1"/>
  <c r="N21" i="1"/>
  <c r="P24" i="1"/>
  <c r="T20" i="1"/>
  <c r="R34" i="1"/>
  <c r="R78" i="1"/>
  <c r="P79" i="1"/>
  <c r="V118" i="1"/>
  <c r="N32" i="1"/>
  <c r="N46" i="1"/>
  <c r="N45" i="1"/>
  <c r="R37" i="1"/>
  <c r="T14" i="1"/>
  <c r="R33" i="1"/>
  <c r="P23" i="1"/>
  <c r="R120" i="1"/>
  <c r="R119" i="1"/>
  <c r="T118" i="1"/>
  <c r="T119" i="1"/>
  <c r="P118" i="1"/>
  <c r="P121" i="1"/>
  <c r="N113" i="1"/>
  <c r="V77" i="1"/>
  <c r="V76" i="1"/>
  <c r="N79" i="1"/>
  <c r="N76" i="1"/>
  <c r="N48" i="1"/>
  <c r="N59" i="1"/>
  <c r="P29" i="1"/>
  <c r="N24" i="1"/>
  <c r="T46" i="1"/>
  <c r="T21" i="1"/>
  <c r="N13" i="1"/>
  <c r="N91" i="1"/>
  <c r="N14" i="1"/>
  <c r="N18" i="1"/>
  <c r="R17" i="1"/>
  <c r="T40" i="1"/>
  <c r="P14" i="1"/>
  <c r="P32" i="1"/>
  <c r="N17" i="1"/>
  <c r="R20" i="1"/>
  <c r="N35" i="1"/>
  <c r="R24" i="1"/>
  <c r="P46" i="1"/>
  <c r="P31" i="1"/>
  <c r="P37" i="1"/>
  <c r="R13" i="1"/>
  <c r="T30" i="1"/>
  <c r="T76" i="1"/>
  <c r="P76" i="1"/>
  <c r="V119" i="1"/>
  <c r="N121" i="1"/>
  <c r="R14" i="1"/>
  <c r="P22" i="1"/>
  <c r="T45" i="1"/>
  <c r="R40" i="1"/>
  <c r="R41" i="1"/>
  <c r="P21" i="1"/>
  <c r="N30" i="1"/>
  <c r="V79" i="2" l="1"/>
  <c r="AZ79" i="2" s="1"/>
  <c r="AL79" i="2" s="1"/>
  <c r="BD26" i="2"/>
  <c r="BJ80" i="2"/>
  <c r="AV80" i="2" s="1"/>
  <c r="BJ82" i="2"/>
  <c r="AV82" i="2" s="1"/>
  <c r="BJ79" i="2"/>
  <c r="AV79" i="2" s="1"/>
  <c r="BH82" i="2"/>
  <c r="AT82" i="2" s="1"/>
  <c r="BH79" i="2"/>
  <c r="AT79" i="2" s="1"/>
  <c r="BH80" i="2"/>
  <c r="AT80" i="2" s="1"/>
  <c r="AA77" i="1"/>
  <c r="AA119" i="1"/>
  <c r="AA76" i="1"/>
  <c r="AA118" i="1"/>
  <c r="AA78" i="1"/>
  <c r="AA120" i="1"/>
  <c r="AA79" i="1"/>
  <c r="AA121" i="1"/>
  <c r="AD97" i="2"/>
  <c r="AC77" i="1"/>
  <c r="AC119" i="1"/>
  <c r="AC79" i="1"/>
  <c r="AC121" i="1"/>
  <c r="AC76" i="1"/>
  <c r="AC118" i="1"/>
  <c r="AC78" i="1"/>
  <c r="AC120" i="1"/>
  <c r="AF99" i="2"/>
  <c r="V97" i="2"/>
  <c r="Y79" i="1"/>
  <c r="Y121" i="1"/>
  <c r="Y77" i="1"/>
  <c r="Y119" i="1"/>
  <c r="Y76" i="1"/>
  <c r="Y118" i="1"/>
  <c r="Y78" i="1"/>
  <c r="Y120" i="1"/>
  <c r="W73" i="1"/>
  <c r="W115" i="1"/>
  <c r="W71" i="1"/>
  <c r="W113" i="1"/>
  <c r="W72" i="1"/>
  <c r="W114" i="1"/>
  <c r="AV74" i="2"/>
  <c r="AV90" i="2" s="1"/>
  <c r="AV75" i="2"/>
  <c r="AV91" i="2" s="1"/>
  <c r="AF97" i="2"/>
  <c r="AF96" i="2"/>
  <c r="AV77" i="2"/>
  <c r="AV93" i="2" s="1"/>
  <c r="AE118" i="1"/>
  <c r="AE76" i="1"/>
  <c r="AE121" i="1"/>
  <c r="AE79" i="1"/>
  <c r="AE119" i="1"/>
  <c r="AE77" i="1"/>
  <c r="AT77" i="2"/>
  <c r="AT93" i="2" s="1"/>
  <c r="AT75" i="2"/>
  <c r="AT91" i="2" s="1"/>
  <c r="AD99" i="2"/>
  <c r="AT74" i="2"/>
  <c r="AT90" i="2" s="1"/>
  <c r="W119" i="1"/>
  <c r="W77" i="1"/>
  <c r="W121" i="1"/>
  <c r="W79" i="1"/>
  <c r="W120" i="1"/>
  <c r="W78" i="1"/>
  <c r="AZ77" i="2"/>
  <c r="AL77" i="2" s="1"/>
  <c r="AZ76" i="2"/>
  <c r="AL76" i="2" s="1"/>
  <c r="AZ75" i="2"/>
  <c r="AL75" i="2" s="1"/>
  <c r="V98" i="2"/>
  <c r="V99" i="2"/>
  <c r="W118" i="1"/>
  <c r="W76" i="1"/>
  <c r="V96" i="2"/>
  <c r="AZ74" i="2"/>
  <c r="BD37" i="2"/>
  <c r="AP37" i="2" s="1"/>
  <c r="AC30" i="1"/>
  <c r="AA34" i="1"/>
  <c r="AA30" i="1"/>
  <c r="Y34" i="1"/>
  <c r="AA13" i="1"/>
  <c r="AA22" i="1"/>
  <c r="Y36" i="1"/>
  <c r="Y23" i="1"/>
  <c r="Y37" i="1"/>
  <c r="AC20" i="1"/>
  <c r="AC31" i="1"/>
  <c r="W30" i="1"/>
  <c r="Y31" i="1"/>
  <c r="Y24" i="1"/>
  <c r="AC23" i="1"/>
  <c r="AC37" i="1"/>
  <c r="Y46" i="1"/>
  <c r="W21" i="1"/>
  <c r="AA18" i="1"/>
  <c r="AA33" i="1"/>
  <c r="AA24" i="1"/>
  <c r="AC41" i="1"/>
  <c r="AC34" i="1"/>
  <c r="Y21" i="1"/>
  <c r="W35" i="1"/>
  <c r="AA46" i="1"/>
  <c r="AC13" i="1"/>
  <c r="AC22" i="1"/>
  <c r="AA20" i="1"/>
  <c r="AC18" i="1"/>
  <c r="AC33" i="1"/>
  <c r="AC14" i="1"/>
  <c r="W17" i="1"/>
  <c r="Y18" i="1"/>
  <c r="Y33" i="1"/>
  <c r="AA41" i="1"/>
  <c r="Y32" i="1"/>
  <c r="W31" i="1"/>
  <c r="W34" i="1"/>
  <c r="AC36" i="1"/>
  <c r="Y14" i="1"/>
  <c r="Y40" i="1"/>
  <c r="AA23" i="1"/>
  <c r="AA37" i="1"/>
  <c r="AC40" i="1"/>
  <c r="Y20" i="1"/>
  <c r="AA36" i="1"/>
  <c r="AA40" i="1"/>
  <c r="AA42" i="1" s="1"/>
  <c r="AA17" i="1"/>
  <c r="AA29" i="1"/>
  <c r="AA45" i="1"/>
  <c r="W36" i="1"/>
  <c r="W18" i="1"/>
  <c r="W33" i="1"/>
  <c r="AC29" i="1"/>
  <c r="AC45" i="1"/>
  <c r="W14" i="1"/>
  <c r="W23" i="1"/>
  <c r="W37" i="1"/>
  <c r="W25" i="1"/>
  <c r="W91" i="1"/>
  <c r="W20" i="1"/>
  <c r="W29" i="1"/>
  <c r="W45" i="1"/>
  <c r="W13" i="1"/>
  <c r="W22" i="1"/>
  <c r="Y13" i="1"/>
  <c r="Y22" i="1"/>
  <c r="AC21" i="1"/>
  <c r="W40" i="1"/>
  <c r="AC24" i="1"/>
  <c r="W41" i="1"/>
  <c r="AC46" i="1"/>
  <c r="AA31" i="1"/>
  <c r="Y41" i="1"/>
  <c r="W46" i="1"/>
  <c r="W24" i="1"/>
  <c r="AC17" i="1"/>
  <c r="Y30" i="1"/>
  <c r="AA14" i="1"/>
  <c r="Y29" i="1"/>
  <c r="Y45" i="1"/>
  <c r="Y17" i="1"/>
  <c r="AA32" i="1"/>
  <c r="N106" i="1"/>
  <c r="N135" i="1"/>
  <c r="N141" i="1" s="1"/>
  <c r="W141" i="1" s="1"/>
  <c r="W32" i="1"/>
  <c r="W48" i="1"/>
  <c r="AC32" i="1"/>
  <c r="AA21" i="1"/>
  <c r="BF46" i="2"/>
  <c r="AR46" i="2" s="1"/>
  <c r="AL69" i="2"/>
  <c r="AL71" i="2"/>
  <c r="AL70" i="2"/>
  <c r="BF26" i="2"/>
  <c r="AR26" i="2" s="1"/>
  <c r="AR68" i="2" s="1"/>
  <c r="BD46" i="2"/>
  <c r="AP46" i="2" s="1"/>
  <c r="BB37" i="2"/>
  <c r="AN37" i="2" s="1"/>
  <c r="AB70" i="2"/>
  <c r="X68" i="2"/>
  <c r="BF35" i="2"/>
  <c r="AR35" i="2" s="1"/>
  <c r="BB35" i="2"/>
  <c r="AN35" i="2" s="1"/>
  <c r="Z70" i="2"/>
  <c r="AP26" i="2"/>
  <c r="AP68" i="2" s="1"/>
  <c r="Z68" i="2"/>
  <c r="AB68" i="2"/>
  <c r="AB69" i="2"/>
  <c r="BB46" i="2"/>
  <c r="AN46" i="2" s="1"/>
  <c r="BB26" i="2"/>
  <c r="AN26" i="2" s="1"/>
  <c r="AN68" i="2" s="1"/>
  <c r="AB71" i="2"/>
  <c r="X71" i="2"/>
  <c r="X69" i="2"/>
  <c r="BF37" i="2"/>
  <c r="AR37" i="2" s="1"/>
  <c r="Z69" i="2"/>
  <c r="BD35" i="2"/>
  <c r="AP35" i="2" s="1"/>
  <c r="Z71" i="2"/>
  <c r="X70" i="2"/>
  <c r="N19" i="1"/>
  <c r="V73" i="1"/>
  <c r="V90" i="1"/>
  <c r="N66" i="1"/>
  <c r="N60" i="1"/>
  <c r="P35" i="1"/>
  <c r="N62" i="1"/>
  <c r="T35" i="1"/>
  <c r="T25" i="1"/>
  <c r="N61" i="1"/>
  <c r="N70" i="1"/>
  <c r="V115" i="1"/>
  <c r="V112" i="1"/>
  <c r="N108" i="1"/>
  <c r="P130" i="1"/>
  <c r="R35" i="1"/>
  <c r="R130" i="1"/>
  <c r="R91" i="1"/>
  <c r="T48" i="1"/>
  <c r="R48" i="1"/>
  <c r="P91" i="1"/>
  <c r="P25" i="1"/>
  <c r="N90" i="1"/>
  <c r="V19" i="1"/>
  <c r="V71" i="1"/>
  <c r="N131" i="1"/>
  <c r="P101" i="1"/>
  <c r="N133" i="1"/>
  <c r="R101" i="1"/>
  <c r="R25" i="1"/>
  <c r="N132" i="1"/>
  <c r="T130" i="1"/>
  <c r="N112" i="1"/>
  <c r="V70" i="1"/>
  <c r="V113" i="1"/>
  <c r="N102" i="1"/>
  <c r="P59" i="1"/>
  <c r="N104" i="1"/>
  <c r="R59" i="1"/>
  <c r="T91" i="1"/>
  <c r="N103" i="1"/>
  <c r="T101" i="1"/>
  <c r="P48" i="1"/>
  <c r="T59" i="1"/>
  <c r="W112" i="1" l="1"/>
  <c r="W116" i="1" s="1"/>
  <c r="W90" i="1"/>
  <c r="W70" i="1"/>
  <c r="W74" i="1" s="1"/>
  <c r="W19" i="1"/>
  <c r="W26" i="1" s="1"/>
  <c r="AA122" i="1"/>
  <c r="AC122" i="1"/>
  <c r="AA80" i="1"/>
  <c r="AL74" i="2"/>
  <c r="AL96" i="2" s="1"/>
  <c r="AL99" i="2"/>
  <c r="AC80" i="1"/>
  <c r="AL97" i="2"/>
  <c r="AE113" i="1"/>
  <c r="AE71" i="1"/>
  <c r="AE112" i="1"/>
  <c r="AE90" i="1"/>
  <c r="AE70" i="1"/>
  <c r="AE19" i="1"/>
  <c r="AE26" i="1" s="1"/>
  <c r="AE115" i="1"/>
  <c r="AE73" i="1"/>
  <c r="Y80" i="1"/>
  <c r="Y122" i="1"/>
  <c r="AL90" i="2"/>
  <c r="AB75" i="2"/>
  <c r="AB76" i="2"/>
  <c r="AB77" i="2"/>
  <c r="AB74" i="2"/>
  <c r="Z77" i="2"/>
  <c r="Z76" i="2"/>
  <c r="Z75" i="2"/>
  <c r="Z74" i="2"/>
  <c r="X74" i="2"/>
  <c r="X75" i="2"/>
  <c r="X77" i="2"/>
  <c r="X76" i="2"/>
  <c r="W122" i="1"/>
  <c r="AV96" i="2"/>
  <c r="AV97" i="2"/>
  <c r="AV99" i="2"/>
  <c r="AT97" i="2"/>
  <c r="AT99" i="2"/>
  <c r="AE80" i="1"/>
  <c r="AT96" i="2"/>
  <c r="AE122" i="1"/>
  <c r="W108" i="1"/>
  <c r="W110" i="1" s="1"/>
  <c r="W66" i="1"/>
  <c r="W68" i="1" s="1"/>
  <c r="W80" i="1"/>
  <c r="AL98" i="2"/>
  <c r="AC42" i="1"/>
  <c r="W42" i="1"/>
  <c r="Y48" i="1"/>
  <c r="Y25" i="1"/>
  <c r="Y91" i="1"/>
  <c r="T106" i="1"/>
  <c r="T135" i="1"/>
  <c r="T141" i="1" s="1"/>
  <c r="AC141" i="1" s="1"/>
  <c r="AA48" i="1"/>
  <c r="N107" i="1"/>
  <c r="N136" i="1"/>
  <c r="N142" i="1" s="1"/>
  <c r="W142" i="1" s="1"/>
  <c r="AC48" i="1"/>
  <c r="AC25" i="1"/>
  <c r="AC91" i="1"/>
  <c r="AA25" i="1"/>
  <c r="AA91" i="1"/>
  <c r="AC35" i="1"/>
  <c r="R106" i="1"/>
  <c r="R135" i="1"/>
  <c r="R141" i="1" s="1"/>
  <c r="AA141" i="1" s="1"/>
  <c r="N137" i="1"/>
  <c r="W137" i="1" s="1"/>
  <c r="W139" i="1" s="1"/>
  <c r="AA35" i="1"/>
  <c r="Y35" i="1"/>
  <c r="P106" i="1"/>
  <c r="P135" i="1"/>
  <c r="P141" i="1" s="1"/>
  <c r="Y141" i="1" s="1"/>
  <c r="N109" i="1"/>
  <c r="N138" i="1"/>
  <c r="N144" i="1" s="1"/>
  <c r="W144" i="1" s="1"/>
  <c r="AN70" i="2"/>
  <c r="AN71" i="2"/>
  <c r="AP70" i="2"/>
  <c r="AL92" i="2"/>
  <c r="AR70" i="2"/>
  <c r="AR71" i="2"/>
  <c r="AP71" i="2"/>
  <c r="AR69" i="2"/>
  <c r="AL93" i="2"/>
  <c r="Y42" i="1"/>
  <c r="AP69" i="2"/>
  <c r="AN69" i="2"/>
  <c r="AL91" i="2"/>
  <c r="R133" i="1"/>
  <c r="P103" i="1"/>
  <c r="T61" i="1"/>
  <c r="R131" i="1"/>
  <c r="P104" i="1"/>
  <c r="T62" i="1"/>
  <c r="T60" i="1"/>
  <c r="R132" i="1"/>
  <c r="R104" i="1"/>
  <c r="P61" i="1"/>
  <c r="T131" i="1"/>
  <c r="R102" i="1"/>
  <c r="P62" i="1"/>
  <c r="P131" i="1"/>
  <c r="P132" i="1"/>
  <c r="P133" i="1"/>
  <c r="T104" i="1"/>
  <c r="R103" i="1"/>
  <c r="R62" i="1"/>
  <c r="T132" i="1"/>
  <c r="T102" i="1"/>
  <c r="R60" i="1"/>
  <c r="T133" i="1"/>
  <c r="P102" i="1"/>
  <c r="R61" i="1"/>
  <c r="T103" i="1"/>
  <c r="P60" i="1"/>
  <c r="AE116" i="1" l="1"/>
  <c r="AE123" i="1" s="1"/>
  <c r="AE74" i="1"/>
  <c r="AE81" i="1" s="1"/>
  <c r="AB80" i="2"/>
  <c r="BF80" i="2" s="1"/>
  <c r="BF75" i="2"/>
  <c r="AB79" i="2"/>
  <c r="BF79" i="2" s="1"/>
  <c r="AR79" i="2" s="1"/>
  <c r="BF74" i="2"/>
  <c r="AR74" i="2" s="1"/>
  <c r="AR90" i="2" s="1"/>
  <c r="AB82" i="2"/>
  <c r="BF82" i="2" s="1"/>
  <c r="BF77" i="2"/>
  <c r="AB81" i="2"/>
  <c r="BF81" i="2" s="1"/>
  <c r="BF76" i="2"/>
  <c r="AR76" i="2" s="1"/>
  <c r="AR92" i="2" s="1"/>
  <c r="Z82" i="2"/>
  <c r="BD82" i="2" s="1"/>
  <c r="BD77" i="2"/>
  <c r="AP77" i="2" s="1"/>
  <c r="AP93" i="2" s="1"/>
  <c r="Z79" i="2"/>
  <c r="BD79" i="2" s="1"/>
  <c r="BD74" i="2"/>
  <c r="AP74" i="2" s="1"/>
  <c r="AP90" i="2" s="1"/>
  <c r="Z80" i="2"/>
  <c r="BD80" i="2" s="1"/>
  <c r="BD75" i="2"/>
  <c r="AP75" i="2" s="1"/>
  <c r="AP91" i="2" s="1"/>
  <c r="Z81" i="2"/>
  <c r="BD81" i="2" s="1"/>
  <c r="BD76" i="2"/>
  <c r="AP76" i="2" s="1"/>
  <c r="AP92" i="2" s="1"/>
  <c r="X79" i="2"/>
  <c r="BB79" i="2" s="1"/>
  <c r="BB74" i="2"/>
  <c r="AN74" i="2" s="1"/>
  <c r="X81" i="2"/>
  <c r="BB81" i="2" s="1"/>
  <c r="BB76" i="2"/>
  <c r="X82" i="2"/>
  <c r="BB82" i="2" s="1"/>
  <c r="BB77" i="2"/>
  <c r="AN77" i="2" s="1"/>
  <c r="X80" i="2"/>
  <c r="BB80" i="2" s="1"/>
  <c r="BB75" i="2"/>
  <c r="AR75" i="2"/>
  <c r="AR91" i="2" s="1"/>
  <c r="AR77" i="2"/>
  <c r="AR93" i="2" s="1"/>
  <c r="W123" i="1"/>
  <c r="W81" i="1"/>
  <c r="P109" i="1"/>
  <c r="P138" i="1"/>
  <c r="P144" i="1" s="1"/>
  <c r="Y144" i="1" s="1"/>
  <c r="T137" i="1"/>
  <c r="AC137" i="1" s="1"/>
  <c r="AC139" i="1" s="1"/>
  <c r="P137" i="1"/>
  <c r="Y137" i="1" s="1"/>
  <c r="Y139" i="1" s="1"/>
  <c r="R109" i="1"/>
  <c r="R138" i="1"/>
  <c r="R144" i="1" s="1"/>
  <c r="AA144" i="1" s="1"/>
  <c r="T109" i="1"/>
  <c r="T138" i="1"/>
  <c r="T144" i="1" s="1"/>
  <c r="AC144" i="1" s="1"/>
  <c r="T107" i="1"/>
  <c r="T136" i="1"/>
  <c r="T142" i="1" s="1"/>
  <c r="AC142" i="1" s="1"/>
  <c r="P107" i="1"/>
  <c r="P136" i="1"/>
  <c r="P142" i="1" s="1"/>
  <c r="Y142" i="1" s="1"/>
  <c r="R137" i="1"/>
  <c r="AA137" i="1" s="1"/>
  <c r="AA139" i="1" s="1"/>
  <c r="R107" i="1"/>
  <c r="R136" i="1"/>
  <c r="R142" i="1" s="1"/>
  <c r="AA142" i="1" s="1"/>
  <c r="N143" i="1"/>
  <c r="W143" i="1" s="1"/>
  <c r="W145" i="1" s="1"/>
  <c r="T19" i="1"/>
  <c r="R66" i="1"/>
  <c r="T112" i="1"/>
  <c r="T90" i="1"/>
  <c r="R108" i="1"/>
  <c r="T66" i="1"/>
  <c r="T70" i="1"/>
  <c r="T108" i="1"/>
  <c r="AP80" i="2" l="1"/>
  <c r="X99" i="2"/>
  <c r="AR82" i="2"/>
  <c r="AR99" i="2" s="1"/>
  <c r="AN82" i="2"/>
  <c r="AN99" i="2" s="1"/>
  <c r="X96" i="2"/>
  <c r="Z99" i="2"/>
  <c r="AB97" i="2"/>
  <c r="AN75" i="2"/>
  <c r="AN91" i="2" s="1"/>
  <c r="AP82" i="2"/>
  <c r="AP99" i="2" s="1"/>
  <c r="AN79" i="2"/>
  <c r="AN96" i="2" s="1"/>
  <c r="AR80" i="2"/>
  <c r="AR97" i="2" s="1"/>
  <c r="Z97" i="2"/>
  <c r="AB99" i="2"/>
  <c r="AN93" i="2"/>
  <c r="AN90" i="2"/>
  <c r="AN76" i="2"/>
  <c r="X97" i="2"/>
  <c r="AN80" i="2"/>
  <c r="Z96" i="2"/>
  <c r="Z98" i="2"/>
  <c r="X98" i="2"/>
  <c r="AB98" i="2"/>
  <c r="AP79" i="2"/>
  <c r="AP96" i="2" s="1"/>
  <c r="AP81" i="2"/>
  <c r="AN81" i="2"/>
  <c r="AR81" i="2"/>
  <c r="AR98" i="2" s="1"/>
  <c r="AB96" i="2"/>
  <c r="AA108" i="1"/>
  <c r="AA110" i="1" s="1"/>
  <c r="AA66" i="1"/>
  <c r="AA68" i="1" s="1"/>
  <c r="AR96" i="2"/>
  <c r="AP97" i="2"/>
  <c r="AC108" i="1"/>
  <c r="AC110" i="1" s="1"/>
  <c r="AC66" i="1"/>
  <c r="AC68" i="1" s="1"/>
  <c r="AC19" i="1"/>
  <c r="AC26" i="1" s="1"/>
  <c r="AC70" i="1"/>
  <c r="AC90" i="1"/>
  <c r="AC112" i="1"/>
  <c r="P143" i="1"/>
  <c r="Y143" i="1" s="1"/>
  <c r="Y145" i="1" s="1"/>
  <c r="T143" i="1"/>
  <c r="AC143" i="1" s="1"/>
  <c r="AC145" i="1" s="1"/>
  <c r="R143" i="1"/>
  <c r="AA143" i="1" s="1"/>
  <c r="AA145" i="1" s="1"/>
  <c r="R71" i="1"/>
  <c r="P73" i="1"/>
  <c r="P90" i="1"/>
  <c r="P108" i="1"/>
  <c r="P113" i="1"/>
  <c r="R19" i="1"/>
  <c r="R72" i="1"/>
  <c r="T115" i="1"/>
  <c r="T113" i="1"/>
  <c r="R112" i="1"/>
  <c r="R113" i="1"/>
  <c r="P115" i="1"/>
  <c r="P112" i="1"/>
  <c r="P66" i="1"/>
  <c r="P71" i="1"/>
  <c r="R70" i="1"/>
  <c r="R114" i="1"/>
  <c r="P70" i="1"/>
  <c r="R115" i="1"/>
  <c r="P114" i="1"/>
  <c r="T73" i="1"/>
  <c r="P19" i="1"/>
  <c r="T71" i="1"/>
  <c r="R73" i="1"/>
  <c r="T72" i="1"/>
  <c r="R90" i="1"/>
  <c r="P72" i="1"/>
  <c r="T114" i="1"/>
  <c r="AC115" i="1" l="1"/>
  <c r="AC73" i="1"/>
  <c r="AA113" i="1"/>
  <c r="AA71" i="1"/>
  <c r="AN97" i="2"/>
  <c r="AA115" i="1"/>
  <c r="AA73" i="1"/>
  <c r="Y66" i="1"/>
  <c r="Y68" i="1" s="1"/>
  <c r="Y108" i="1"/>
  <c r="Y110" i="1" s="1"/>
  <c r="AC113" i="1"/>
  <c r="AC71" i="1"/>
  <c r="Y112" i="1"/>
  <c r="Y90" i="1"/>
  <c r="Y70" i="1"/>
  <c r="Y19" i="1"/>
  <c r="Y26" i="1" s="1"/>
  <c r="Y115" i="1"/>
  <c r="Y73" i="1"/>
  <c r="AN92" i="2"/>
  <c r="Y114" i="1"/>
  <c r="Y72" i="1"/>
  <c r="AA114" i="1"/>
  <c r="AA72" i="1"/>
  <c r="AA112" i="1"/>
  <c r="AA90" i="1"/>
  <c r="AA70" i="1"/>
  <c r="AA19" i="1"/>
  <c r="AA26" i="1" s="1"/>
  <c r="AC114" i="1"/>
  <c r="AC72" i="1"/>
  <c r="Y71" i="1"/>
  <c r="Y113" i="1"/>
  <c r="AN98" i="2"/>
  <c r="AP98" i="2"/>
  <c r="AC116" i="1" l="1"/>
  <c r="AC123" i="1" s="1"/>
  <c r="AA116" i="1"/>
  <c r="AA123" i="1" s="1"/>
  <c r="Y74" i="1"/>
  <c r="Y81" i="1" s="1"/>
  <c r="AC74" i="1"/>
  <c r="AC81" i="1" s="1"/>
  <c r="AA74" i="1"/>
  <c r="AA81" i="1" s="1"/>
  <c r="Y116" i="1"/>
  <c r="Y123" i="1" s="1"/>
</calcChain>
</file>

<file path=xl/sharedStrings.xml><?xml version="1.0" encoding="utf-8"?>
<sst xmlns="http://schemas.openxmlformats.org/spreadsheetml/2006/main" count="1407" uniqueCount="404">
  <si>
    <t>Kontrolle der Summe_Stoffgruppen:</t>
  </si>
  <si>
    <t>Kontrolle: Summe der Stoffgruppen</t>
  </si>
  <si>
    <t>Anteil Stoffgruppe 1</t>
  </si>
  <si>
    <t xml:space="preserve"> </t>
  </si>
  <si>
    <t>Zn_Stoffgr. 3</t>
  </si>
  <si>
    <t>Pb_Stoffgr. 3</t>
  </si>
  <si>
    <t>Ni_Stoffgr. 3</t>
  </si>
  <si>
    <t>Cu_Stoffgr. 3</t>
  </si>
  <si>
    <t>Zn_Stoffgr. 2</t>
  </si>
  <si>
    <t>Pb_Stoffgr. 2</t>
  </si>
  <si>
    <t>Ni_Stoffgr. 2</t>
  </si>
  <si>
    <t>Cu_Stoffgr. 2</t>
  </si>
  <si>
    <t>Zn_Stoffgr. 1</t>
  </si>
  <si>
    <t>Pb_Stoffgr. 1</t>
  </si>
  <si>
    <t>Ni_Stoffgr. 1</t>
  </si>
  <si>
    <t>Cu_Stoffgr. 1</t>
  </si>
  <si>
    <t>Zn_min_ges</t>
  </si>
  <si>
    <t>Pb_min_ges</t>
  </si>
  <si>
    <t>Ni_min_ges</t>
  </si>
  <si>
    <t>Cu_min_ges</t>
  </si>
  <si>
    <t>[mg/kg OS]</t>
  </si>
  <si>
    <t>Zn_goL &lt; 1 mm</t>
  </si>
  <si>
    <t>Pb_goL &lt; 1 mm</t>
  </si>
  <si>
    <t>Ni_goL &lt; 1 mm</t>
  </si>
  <si>
    <t>Cu_goL &lt; 1 mm</t>
  </si>
  <si>
    <t>[mg/l]</t>
  </si>
  <si>
    <t>Eluat (L/S=10)</t>
  </si>
  <si>
    <t>Na</t>
  </si>
  <si>
    <t>K</t>
  </si>
  <si>
    <t>Ca</t>
  </si>
  <si>
    <t>Zn</t>
  </si>
  <si>
    <t>Pb</t>
  </si>
  <si>
    <t>Ni</t>
  </si>
  <si>
    <t>Cu</t>
  </si>
  <si>
    <t>[mS/cm]</t>
  </si>
  <si>
    <t>Lf</t>
  </si>
  <si>
    <t>[-]</t>
  </si>
  <si>
    <t>pH</t>
  </si>
  <si>
    <t>Eluat</t>
  </si>
  <si>
    <t>TS der Analysenpr.</t>
  </si>
  <si>
    <t>[mg/kg TS]</t>
  </si>
  <si>
    <t>V</t>
  </si>
  <si>
    <t>Tl</t>
  </si>
  <si>
    <t>Ti</t>
  </si>
  <si>
    <t>Te</t>
  </si>
  <si>
    <t>Sn</t>
  </si>
  <si>
    <t>Se</t>
  </si>
  <si>
    <t>Sb</t>
  </si>
  <si>
    <t>S</t>
  </si>
  <si>
    <t>P</t>
  </si>
  <si>
    <t>Mo</t>
  </si>
  <si>
    <t>Mn</t>
  </si>
  <si>
    <t>Mg</t>
  </si>
  <si>
    <t>Hg</t>
  </si>
  <si>
    <t>Fe</t>
  </si>
  <si>
    <t>F</t>
  </si>
  <si>
    <t>Cr(VI)</t>
  </si>
  <si>
    <t>Cr_ges.</t>
  </si>
  <si>
    <t>Co</t>
  </si>
  <si>
    <t>Cd</t>
  </si>
  <si>
    <t>Br</t>
  </si>
  <si>
    <t>Be</t>
  </si>
  <si>
    <t>Ba</t>
  </si>
  <si>
    <t>B</t>
  </si>
  <si>
    <t>As</t>
  </si>
  <si>
    <t>Ag</t>
  </si>
  <si>
    <t>TOC der AP</t>
  </si>
  <si>
    <t>[% OS]</t>
  </si>
  <si>
    <t>TOC (OS)</t>
  </si>
  <si>
    <t xml:space="preserve">TOC </t>
  </si>
  <si>
    <t>GV der 105°C getrockneten AP</t>
  </si>
  <si>
    <t>GV</t>
  </si>
  <si>
    <t>TS (105°C der AP)</t>
  </si>
  <si>
    <t>Analysenprobe</t>
  </si>
  <si>
    <t>TS [ 105 °C] der Analysenprobe</t>
  </si>
  <si>
    <t>[Mas.-% OS]</t>
  </si>
  <si>
    <t>[Mas.-%]</t>
  </si>
  <si>
    <t xml:space="preserve"> 1 mm &gt; x &gt; 0,25 mm</t>
  </si>
  <si>
    <t xml:space="preserve"> 2 mm &gt; x &gt; 1 mm</t>
  </si>
  <si>
    <t xml:space="preserve"> 50 mm &gt; x &gt; 2 mm</t>
  </si>
  <si>
    <t>Originalsubstanz</t>
  </si>
  <si>
    <t xml:space="preserve"> &gt; 50 mm</t>
  </si>
  <si>
    <t>aussortierte Anteile</t>
  </si>
  <si>
    <t>unterhalb Quantifizierungsgrenze</t>
  </si>
  <si>
    <t>Feuchte</t>
  </si>
  <si>
    <t>über Quantifizierungsgrenze</t>
  </si>
  <si>
    <t>Trockenrückstand</t>
  </si>
  <si>
    <t>für Werte
 &lt; 0,01</t>
  </si>
  <si>
    <t>für Werte
 &lt;0,1</t>
  </si>
  <si>
    <t xml:space="preserve"> für Werte 
&gt; 0,1</t>
  </si>
  <si>
    <t>Mittelwert</t>
  </si>
  <si>
    <t>Bezug</t>
  </si>
  <si>
    <t>Vorgabe signifikante Stellen</t>
  </si>
  <si>
    <t>Bezug auf Originalsubstanz, gerundet</t>
  </si>
  <si>
    <r>
      <t xml:space="preserve">Bezug auf Originalsubstanz, </t>
    </r>
    <r>
      <rPr>
        <b/>
        <u/>
        <sz val="10"/>
        <color theme="1"/>
        <rFont val="Arial"/>
        <family val="2"/>
      </rPr>
      <t>nicht gerundet</t>
    </r>
  </si>
  <si>
    <t>Summe Stoffgruppe 2</t>
  </si>
  <si>
    <t>-</t>
  </si>
  <si>
    <t>ZnO</t>
  </si>
  <si>
    <t>HP 14 (Stgr. 2)</t>
  </si>
  <si>
    <t>NiCO3</t>
  </si>
  <si>
    <t>Cu2(OH)2CO3</t>
  </si>
  <si>
    <t>Höchstwert für Stoffgruppe 2 (Differenz Gesamtgehalt - Stoffgruppe 1. Höchstanteil der Stoffgruppe 2 am Gesamtgahalt: Cu 30 %; Zn 50%, Ni 40%; Pb 60%)</t>
  </si>
  <si>
    <t>Summe Stoffgruppe 1</t>
  </si>
  <si>
    <t>HP 14 (Stgr. 1)</t>
  </si>
  <si>
    <t>Stoffgruppe 1 (nach Mindestanteilen der Stoffgruppe 1 am Gesamtgehalt: Cu 70 %, Zn: 50 %, Ni: 60 %, Pb: 40 %)</t>
  </si>
  <si>
    <t>Gesamtgehalt einstufungskritischer chemisch gebundener Schwermetalle (informativ)</t>
  </si>
  <si>
    <t>Probe 5</t>
  </si>
  <si>
    <t>Probe 4</t>
  </si>
  <si>
    <t>Probe 3</t>
  </si>
  <si>
    <t>Probe 2</t>
  </si>
  <si>
    <t>Probe 1</t>
  </si>
  <si>
    <t xml:space="preserve"> [mg/kg OS]</t>
  </si>
  <si>
    <t xml:space="preserve"> [%]</t>
  </si>
  <si>
    <t xml:space="preserve"> [% OS]</t>
  </si>
  <si>
    <t>Gefährlichkeitsindex (HI)</t>
  </si>
  <si>
    <t>Messwerte in mg/kg OS (inkl. Bestimmungsgrenze)</t>
  </si>
  <si>
    <t>Zeile</t>
  </si>
  <si>
    <t>Element od. Stoffgr. El.</t>
  </si>
  <si>
    <r>
      <t xml:space="preserve">Grenze Element-konz. 
</t>
    </r>
    <r>
      <rPr>
        <sz val="8"/>
        <rFont val="Arial"/>
        <family val="2"/>
      </rPr>
      <t>in d. genannten Modellverbindg.</t>
    </r>
  </si>
  <si>
    <r>
      <t xml:space="preserve">Berücks.-grenze Element 
</t>
    </r>
    <r>
      <rPr>
        <sz val="8"/>
        <rFont val="Arial"/>
        <family val="2"/>
      </rPr>
      <t>in d. genannten Modellverbindg.</t>
    </r>
  </si>
  <si>
    <r>
      <t xml:space="preserve">95. Perzentil </t>
    </r>
    <r>
      <rPr>
        <sz val="8"/>
        <rFont val="Arial"/>
        <family val="2"/>
      </rPr>
      <t xml:space="preserve">europäischer  HMVA </t>
    </r>
  </si>
  <si>
    <r>
      <t>stöchiometr. Faktor</t>
    </r>
    <r>
      <rPr>
        <sz val="8"/>
        <rFont val="Arial"/>
        <family val="2"/>
      </rPr>
      <t xml:space="preserve">  (Masse Verbindung / Masse Element)</t>
    </r>
  </si>
  <si>
    <t>Konz.-grenze (Stoff)</t>
  </si>
  <si>
    <t>Berücks.-grenze (Stoff)</t>
  </si>
  <si>
    <t>Modell-verbindung</t>
  </si>
  <si>
    <t>kritische  gefährenrel. Eigenschaft</t>
  </si>
  <si>
    <t>Element</t>
  </si>
  <si>
    <t>Zwischenuntersuchung nach Höchstmengenansatz</t>
  </si>
  <si>
    <t>Summe HP 14</t>
  </si>
  <si>
    <t>Summe Stoffgruppe 3</t>
  </si>
  <si>
    <t>ZnSO4</t>
  </si>
  <si>
    <t>HP 14 (Stgr. 3)</t>
  </si>
  <si>
    <t>NiSO4</t>
  </si>
  <si>
    <t>CuSO4</t>
  </si>
  <si>
    <t>Stoffgruppe 3 (wasserlösliche Salze, berechnet aus Konzentration im Eluat)</t>
  </si>
  <si>
    <t>Stoffgruppe 2 (Differenz Gesamtgehalt - Stoffgruppe 1 - Stoffgruppe 3)</t>
  </si>
  <si>
    <t>Stoffgruppe 1 (nach Mindestanteilen am Gesamtgehalt: Cu 70 %, Zn: 50 %, Ni: 60 %, Pb: 40 %)</t>
  </si>
  <si>
    <t>Summe Stoffgruppe 0</t>
  </si>
  <si>
    <t>HP 14 (Stgr. 0)</t>
  </si>
  <si>
    <r>
      <t>Pb</t>
    </r>
    <r>
      <rPr>
        <sz val="10"/>
        <color theme="1"/>
        <rFont val="Arial Narrow"/>
        <family val="2"/>
      </rPr>
      <t xml:space="preserve"> </t>
    </r>
  </si>
  <si>
    <t xml:space="preserve">  informativ</t>
  </si>
  <si>
    <t>Stoffgruppe 0 (nicht massive Partikel von gediegenen oder legierten Metallen)</t>
  </si>
  <si>
    <t>HP 14</t>
  </si>
  <si>
    <t>**</t>
  </si>
  <si>
    <t>HP 6</t>
  </si>
  <si>
    <t>Cu(OH)2</t>
  </si>
  <si>
    <r>
      <t>Cu</t>
    </r>
    <r>
      <rPr>
        <sz val="8"/>
        <color theme="1"/>
        <rFont val="Arial"/>
        <family val="2"/>
      </rPr>
      <t xml:space="preserve"> (Stoffgr. 2)</t>
    </r>
  </si>
  <si>
    <t>Wiederkehrende Untersuchung</t>
  </si>
  <si>
    <t>Stoffgruppe 3</t>
  </si>
  <si>
    <t>Stoffgruppe 2</t>
  </si>
  <si>
    <t>Stoffgruppe 1</t>
  </si>
  <si>
    <t>nur informativ</t>
  </si>
  <si>
    <t>Stoffgruppe 0, in nicht massiven Partikeln (&lt; 1 mm)  vorliegende Anteile</t>
  </si>
  <si>
    <t>TeO2</t>
  </si>
  <si>
    <t>HP 10</t>
  </si>
  <si>
    <t>NH4Br</t>
  </si>
  <si>
    <t>B2O3</t>
  </si>
  <si>
    <t>Pb3(AsO4)2</t>
  </si>
  <si>
    <t>HP10</t>
  </si>
  <si>
    <t>Summe HP 8</t>
  </si>
  <si>
    <t>SnCl4</t>
  </si>
  <si>
    <t>HP 8</t>
  </si>
  <si>
    <t>AgNO3</t>
  </si>
  <si>
    <t>NiSeO4</t>
  </si>
  <si>
    <t>HP 7</t>
  </si>
  <si>
    <t>SbF3</t>
  </si>
  <si>
    <t>HP 7, HP 11</t>
  </si>
  <si>
    <t>HP 7,</t>
  </si>
  <si>
    <t>MoO3</t>
  </si>
  <si>
    <t>Na2CrO4</t>
  </si>
  <si>
    <t>Cr VI</t>
  </si>
  <si>
    <t>Co(NO3)2</t>
  </si>
  <si>
    <t>CdSO4</t>
  </si>
  <si>
    <t>Be(OH)2</t>
  </si>
  <si>
    <t>H3AsO4</t>
  </si>
  <si>
    <t>Summe HP 6 (vereinfacht, ohne Unterscheidung von Kategorien unterschiedlicher Wirkung)</t>
  </si>
  <si>
    <t>Tl2SO4</t>
  </si>
  <si>
    <t>Na2SeO3</t>
  </si>
  <si>
    <t>MnO2</t>
  </si>
  <si>
    <t>HgSO4</t>
  </si>
  <si>
    <t>NaF</t>
  </si>
  <si>
    <t>BaCl2</t>
  </si>
  <si>
    <t>V2O5</t>
  </si>
  <si>
    <t>HP 5, HP 11</t>
  </si>
  <si>
    <t>KMnO4</t>
  </si>
  <si>
    <t>HP 5</t>
  </si>
  <si>
    <t>Grunduntersuchung</t>
  </si>
  <si>
    <t>Kontrolle Elementzuordnung</t>
  </si>
  <si>
    <t xml:space="preserve">zur Anzeige der für die für die Auswertung interessierende Gruppe auf die  + -  Schaltfläche klicken </t>
  </si>
  <si>
    <t>die verschiedenen Auswertebereiche sind zur Übersicht gruppiert</t>
  </si>
  <si>
    <t>at</t>
  </si>
  <si>
    <t>as</t>
  </si>
  <si>
    <t>ar</t>
  </si>
  <si>
    <t>aq</t>
  </si>
  <si>
    <t>ap</t>
  </si>
  <si>
    <t>ao</t>
  </si>
  <si>
    <t>an</t>
  </si>
  <si>
    <t>am</t>
  </si>
  <si>
    <t>al</t>
  </si>
  <si>
    <t>Ergebnisspalten</t>
  </si>
  <si>
    <t>! Öffnen des für die aktuellen Proben interessanten Auswertebereichs über die Schalter der Gruppierungen, links!</t>
  </si>
  <si>
    <t>Ergebnisse ausgedrückt als Gefährlichkeitsindex (HI)</t>
  </si>
  <si>
    <t>und Runden auf eine angemessene Zahl von Stellen</t>
  </si>
  <si>
    <t>Untersuchung der Mineralphase (&lt; 0,25 mm)</t>
  </si>
  <si>
    <t>Messwerte nach Laborbericht</t>
  </si>
  <si>
    <t>Bericht Nr.</t>
  </si>
  <si>
    <t>Labor:</t>
  </si>
  <si>
    <t>Mindestanteile der Stoffgruppe 1 nach Praxisleitfaden</t>
  </si>
  <si>
    <t>Stoffgr. 2, Differenz (Gesamtgehalt - Stoffgr. 1 - Stoffgr. 3)</t>
  </si>
  <si>
    <t>Stoffgr. 3, Messwert  (Eluat)</t>
  </si>
  <si>
    <t>[mg/kg]</t>
  </si>
  <si>
    <t>TS der Metallpartikel &lt; 1 mm</t>
  </si>
  <si>
    <t>Aufschlussrückstand</t>
  </si>
  <si>
    <t>Al_goL &lt; 1 mm</t>
  </si>
  <si>
    <t>Ca im Überkorn &lt; 1 mm</t>
  </si>
  <si>
    <t>Fe im Überkorn &lt; 1 mm</t>
  </si>
  <si>
    <t>NE-Metallpartikel &lt; 1 mm</t>
  </si>
  <si>
    <t>bei der Probenahme und bei der Probenvorbereitung aussortierte Anteile</t>
  </si>
  <si>
    <t>[%]</t>
  </si>
  <si>
    <t>Probennr.</t>
  </si>
  <si>
    <t>Bezeich-nung</t>
  </si>
  <si>
    <t>gebr. Laborprobe</t>
  </si>
  <si>
    <t>TS 40°C der Laborpr.</t>
  </si>
  <si>
    <t>Plausibilitätsprüfung</t>
  </si>
  <si>
    <t>Aufschlussrückstand (geglüht)</t>
  </si>
  <si>
    <t>Al</t>
  </si>
  <si>
    <t>Zweck</t>
  </si>
  <si>
    <t>Grundlage</t>
  </si>
  <si>
    <t>Doku und Grundlage</t>
  </si>
  <si>
    <t>Doku Ausbrand</t>
  </si>
  <si>
    <t>Doku Ausbrand (bei Rohschlacken Alternatve zu TOC)</t>
  </si>
  <si>
    <t xml:space="preserve">Doku </t>
  </si>
  <si>
    <t>Schlüsselparameter</t>
  </si>
  <si>
    <t>ergänzend (Massenbilanz)</t>
  </si>
  <si>
    <t>optional zur Plausibilitätsprüfung</t>
  </si>
  <si>
    <t>Absichern HP 4</t>
  </si>
  <si>
    <t>ergänzend (Verteilung Ni)</t>
  </si>
  <si>
    <t xml:space="preserve">QS der Probenaufbereitung: hohe Werte (&gt; ca. 3 %) weisen auf zu hohe Schlacke-Anteile hin </t>
  </si>
  <si>
    <t>QS der Probenaufbereitung: hohe Werte weisen auf nicht zermahlene Eisenoxide hin</t>
  </si>
  <si>
    <t xml:space="preserve">QS der Probenaufbereitung: hohe Werte (&gt; ca. 20 %) weisen auf zu hohe Schlacke-Anteile hin </t>
  </si>
  <si>
    <t xml:space="preserve">Umrechnung der Messwerte auf die Originalsubstanz der Schlacke </t>
  </si>
  <si>
    <t>(TS Analysenprobe --&gt; OS)</t>
  </si>
  <si>
    <t>Konzentrationen in Eluat (L/S=10)</t>
  </si>
  <si>
    <t>nicht massiv vorliegende Metalle_goL  (gediegen oder in Legierung)</t>
  </si>
  <si>
    <t>Stoffgr. 1 (Ansatz Mindestanteil nach Plf)</t>
  </si>
  <si>
    <t>Prüfen auf Rundungsfehler</t>
  </si>
  <si>
    <t>Übersicht Cu, Ni, Pb , Zn  (Berechnungsgrundlage)</t>
  </si>
  <si>
    <r>
      <t xml:space="preserve">Anteile der Stoffgruppen 1, 2 und 3   </t>
    </r>
    <r>
      <rPr>
        <sz val="10"/>
        <color theme="1"/>
        <rFont val="Arial Narrow"/>
        <family val="2"/>
      </rPr>
      <t>Hinweis: Die Berechnung anhend ungerundeter Zahlen. Geringe Anweichungen der Summe vom gerundeten Wert des Gesamtgehalts sind durch Rundungsfehler bedingt</t>
    </r>
  </si>
  <si>
    <t>n.b.</t>
  </si>
  <si>
    <t>&lt;</t>
  </si>
  <si>
    <t>Anzahl der Stellen :</t>
  </si>
  <si>
    <t>Konzentrationen im Eluat (L/S = 10)</t>
  </si>
  <si>
    <t>Übersicht Cu, Ni, Pb , Zn  (informativ, gerundete Werte)</t>
  </si>
  <si>
    <t xml:space="preserve">Einstufung von Hausmüllverbrennungsschlacken </t>
  </si>
  <si>
    <t xml:space="preserve">in das Abfallverzeichnis anhand der gefahrenrelevanten </t>
  </si>
  <si>
    <t>Eigenschaften HP1-HP15</t>
  </si>
  <si>
    <t xml:space="preserve">Anlage zum </t>
  </si>
  <si>
    <t>Dieses Werkzeug  wurde nach bestem Wissen erstellt und geprüft.</t>
  </si>
  <si>
    <t>hnordsieck@posteo.de</t>
  </si>
  <si>
    <r>
      <t xml:space="preserve">Praxisleitfaden der Verbände IGAM und ITAD e.V </t>
    </r>
    <r>
      <rPr>
        <sz val="10"/>
        <color theme="1"/>
        <rFont val="Arial"/>
        <family val="2"/>
      </rPr>
      <t>zur</t>
    </r>
  </si>
  <si>
    <t>Dennoch bleibt die Anwendung in der alleinigen Verantwortung der Nutzenden.</t>
  </si>
  <si>
    <t xml:space="preserve">Diese Arbeitsmappe kann zur Übertragung von Messwerten und Ergebnissen </t>
  </si>
  <si>
    <t xml:space="preserve">der Probenahme, der Probenvorbereitung und der Untersuchung von Schlackeproben </t>
  </si>
  <si>
    <t xml:space="preserve">nach der im Praxisleitfaden dargestellten Untersuchungsmethode verwendet werden. </t>
  </si>
  <si>
    <t>Sie ist dem Rechenablauf entsprechend geliedert in</t>
  </si>
  <si>
    <t>die Übernahme von Messwerten des/der beteiligten Institutionen</t>
  </si>
  <si>
    <t>Stand</t>
  </si>
  <si>
    <t>die Umrechnung auf die Originalsubstanz der Schlackeproben</t>
  </si>
  <si>
    <t xml:space="preserve">die Auswertung über Berechnung der Gefahrenindices (Hazard Index) </t>
  </si>
  <si>
    <t>der nicht generell auszuschließenden gefahrenrelevanten Eigenschaften</t>
  </si>
  <si>
    <t>(Version 2.2 vom 1.10.2023)</t>
  </si>
  <si>
    <t>solutions@bifa.de</t>
  </si>
  <si>
    <t>bifa Umweltinstitut GmbH</t>
  </si>
  <si>
    <t>Autor</t>
  </si>
  <si>
    <t>Herausgeber</t>
  </si>
  <si>
    <t>info@itad.de</t>
  </si>
  <si>
    <t>info@igam-hmva.de</t>
  </si>
  <si>
    <t>Kontakt für Rückfragen</t>
  </si>
  <si>
    <t>Plausibilitätsprüfungen</t>
  </si>
  <si>
    <t xml:space="preserve">Das Blatt "Plausibilitätsprüfungen" enthält einige Hinweise zur Prüfung </t>
  </si>
  <si>
    <t>Probenaufbereitung</t>
  </si>
  <si>
    <t xml:space="preserve">Plausibiltätsprüfungen sind ein Teil der Qualitätssicherung. </t>
  </si>
  <si>
    <t>besonders kritisch für die Untersuchungsergebnisse sind die Bereiche</t>
  </si>
  <si>
    <t>Probenahme</t>
  </si>
  <si>
    <t>Probenvorbereitung</t>
  </si>
  <si>
    <t>Aufschlüsse</t>
  </si>
  <si>
    <t>zur Plausibilitätsprüfung muss das Probenahmeprotokoll ausgewertet werden</t>
  </si>
  <si>
    <t>Zahl der Laborproben</t>
  </si>
  <si>
    <t>j/n</t>
  </si>
  <si>
    <t>ist eine Beschreibung des Vorgehens vorhanden?</t>
  </si>
  <si>
    <t>ggf. Masse der Laborproben (Summe)</t>
  </si>
  <si>
    <t>entspricht das Vorgehen dem Probenahmeplan?</t>
  </si>
  <si>
    <t>j</t>
  </si>
  <si>
    <t>(Gesamt-)Zahl der Einzelproben</t>
  </si>
  <si>
    <t>Volumen einer Einzelprobe</t>
  </si>
  <si>
    <t>[l]</t>
  </si>
  <si>
    <t>[kg]</t>
  </si>
  <si>
    <t>Gesamtmasse ausgesonderter Probenbestandteile</t>
  </si>
  <si>
    <t>wurde das Aussondern von Bestandteilen &gt; 50 mm</t>
  </si>
  <si>
    <t>n</t>
  </si>
  <si>
    <t>Anlass der Probenahme</t>
  </si>
  <si>
    <t>g/w/z</t>
  </si>
  <si>
    <t>g</t>
  </si>
  <si>
    <t>Dabei dürfen beim Brechen und Mahlen insgesamt bis zu etwa 1,5 % der Probe verloren gehen</t>
  </si>
  <si>
    <t>ins Labor verlegt?</t>
  </si>
  <si>
    <t xml:space="preserve">Summe der Verluste </t>
  </si>
  <si>
    <t xml:space="preserve">ausgesonderte Probenbestandteile 50 mm &gt; x &gt; 2 mm </t>
  </si>
  <si>
    <t>Volumen einer Laborprobe</t>
  </si>
  <si>
    <t xml:space="preserve">werden im Probenahmeprotokoll Art und Masse </t>
  </si>
  <si>
    <t>der ausgesonderten Probebestandteile angegeben?</t>
  </si>
  <si>
    <t>-  Die Verluste bei der Probenaufbereitung sollten in Summe kleiner als 2 % sein.</t>
  </si>
  <si>
    <t xml:space="preserve">-  Hohe Anteile von magnetischem Material, das beim Brechen ausgetragen wurde,  weisen darauf hin, dass zusammen mit dem Fe-Feinschrott </t>
  </si>
  <si>
    <t>-  Die Form der ausgesonderten Metallpartikel 50 mm &gt; x &gt; 2 mm gibt Hinweise auf übermäßige Beanspruchung beim Brechen.</t>
  </si>
  <si>
    <t xml:space="preserve">Wenn die Fotodokumentation viele plattgedrückte Metallkörner zeigt oder viele mit Bruchkanten, ist es wahrscheinlich, </t>
  </si>
  <si>
    <t>auch Probenbestandteile (Eisenoxide und Schlackeanbackungen) ausgeschleust wurden (--&gt; Fotodokumentation!)</t>
  </si>
  <si>
    <t xml:space="preserve">-  Die ausgesonderten Metallpartikel sollen wenig (&lt; 20 %) mineralische Bestandteile enthalten. </t>
  </si>
  <si>
    <t xml:space="preserve">Anhand der Fotodokumentation oder des zurück gegebenen Materials lässt sich der Anteil einschätzen. </t>
  </si>
  <si>
    <t xml:space="preserve">Hinweise auf erhöhte Anteile von Schlackebestandteilen in den ausgesonderten Metallpartikeln sind: </t>
  </si>
  <si>
    <t>Höhere Verluste weisen auf Fehler bei der Übertragung der Wägedaten hin,  auf Fehler beim Teilen der Proben oder unnötige Verluste beim Brechen und Mahlen.</t>
  </si>
  <si>
    <t xml:space="preserve">Wenn der ausgetragene Feinschrott merkliche Schlackeanhaftungen trägt, müssen diese z.B. durch Brechen abgereinigt und der Probe zugeführt werden. </t>
  </si>
  <si>
    <t>dass Zink-haltige Körner zerkleinert wurden und erhöhte Zink-Konzentrationen in den Metallpartiken &lt; 1 mm und/oder im Feinkorn verursacht haben.</t>
  </si>
  <si>
    <t>Metallpartikel 2 mm &gt; x &gt; 1 mm:</t>
  </si>
  <si>
    <t>viele ballige Körner mit dunklem Kern --&gt; Schlacke mit magnetischem Kern, diese hätten nachgebrochen werden müssen</t>
  </si>
  <si>
    <t>magnetische Metallpartikel &gt; 2 mm:</t>
  </si>
  <si>
    <t xml:space="preserve">NE-Partikel &gt; 2 mm: </t>
  </si>
  <si>
    <t>viele Glas- oder Keramik/Porzellan-Körner zwischen den Metallpartikeln?</t>
  </si>
  <si>
    <t>viele Keramik/Porzellan-Körner oer schwarze Eisenoxid-Körner zwischen den Metallpartikeln?</t>
  </si>
  <si>
    <t xml:space="preserve">hoher Anteil von schwarzen Eisenoxid.Körnern? (Es könnten mehr Eisenoxidkörner auftreten als deutlich hellere Metallkörner) </t>
  </si>
  <si>
    <t>Metallkonzentrat 1 mm &gt; x &gt; 0,25 mm:</t>
  </si>
  <si>
    <t xml:space="preserve">Wenn erhöhte Anteile von Eisenoxid-Körnern auftraten, hätten diese beim Mahlen mit einem Magneten separiert </t>
  </si>
  <si>
    <t>und getrennt von den nichtmagnetischen Körnern nachgemahlen werden sollen (Labor: auf Homogenisierung des Feinkorns achten!) .</t>
  </si>
  <si>
    <t xml:space="preserve">ist die Fotodoku auswertbar? </t>
  </si>
  <si>
    <r>
      <t xml:space="preserve">NE-Metallkörner &gt; 8 mm (oder ähnlich): </t>
    </r>
    <r>
      <rPr>
        <sz val="10"/>
        <color theme="1"/>
        <rFont val="Arial Narrow"/>
        <family val="2"/>
      </rPr>
      <t xml:space="preserve">großteils plattgedrückt? </t>
    </r>
  </si>
  <si>
    <r>
      <t xml:space="preserve">NE-Metallkörner &gt; 2 mm (o.ä.): </t>
    </r>
    <r>
      <rPr>
        <sz val="10"/>
        <color theme="1"/>
        <rFont val="Arial Narrow"/>
        <family val="2"/>
      </rPr>
      <t xml:space="preserve">Bruchkanten oder großteils plattgedrückt? </t>
    </r>
  </si>
  <si>
    <r>
      <t xml:space="preserve">NE-Metallkörner &gt; 4 mm (o.ä.): </t>
    </r>
    <r>
      <rPr>
        <sz val="10"/>
        <color theme="1"/>
        <rFont val="Arial Narrow"/>
        <family val="2"/>
      </rPr>
      <t xml:space="preserve">Bruchkanten oder großteils plattgedrückt? </t>
    </r>
  </si>
  <si>
    <r>
      <t xml:space="preserve">NE-Metallkörner &gt; 4 mm (o.ä.): </t>
    </r>
    <r>
      <rPr>
        <sz val="10"/>
        <color theme="1"/>
        <rFont val="Arial Narrow"/>
        <family val="2"/>
      </rPr>
      <t xml:space="preserve">hoher Anteil mineralische Körner? </t>
    </r>
  </si>
  <si>
    <r>
      <t xml:space="preserve">magnetische Körner: </t>
    </r>
    <r>
      <rPr>
        <sz val="10"/>
        <color theme="1"/>
        <rFont val="Arial Narrow"/>
        <family val="2"/>
      </rPr>
      <t>Form der meisten Metallteile erkennbar?</t>
    </r>
    <r>
      <rPr>
        <sz val="10"/>
        <color theme="1"/>
        <rFont val="Arial"/>
        <family val="2"/>
      </rPr>
      <t xml:space="preserve"> </t>
    </r>
  </si>
  <si>
    <t>Brechschritte einzeln bewerten!</t>
  </si>
  <si>
    <r>
      <t xml:space="preserve">NE-Metallkörner &gt; 2 mm (o.ä.): </t>
    </r>
    <r>
      <rPr>
        <sz val="10"/>
        <color theme="1"/>
        <rFont val="Arial Narrow"/>
        <family val="2"/>
      </rPr>
      <t xml:space="preserve">hoher Anteil mineralische Körner? </t>
    </r>
  </si>
  <si>
    <t>plattgedrückte Körner könnten aus gezieltem Nachmahlen stammen</t>
  </si>
  <si>
    <r>
      <t xml:space="preserve">Metallkörner 2 mm &gt; x &gt; 1 mm: </t>
    </r>
    <r>
      <rPr>
        <sz val="10"/>
        <color theme="1"/>
        <rFont val="Arial Narrow"/>
        <family val="2"/>
      </rPr>
      <t xml:space="preserve">die meisten Körner flachgedrückt?  </t>
    </r>
  </si>
  <si>
    <r>
      <t xml:space="preserve">Metallkörner 2 mm &gt; x &gt; 1 mm: </t>
    </r>
    <r>
      <rPr>
        <sz val="10"/>
        <color theme="1"/>
        <rFont val="Arial Narrow"/>
        <family val="2"/>
      </rPr>
      <t xml:space="preserve">hoher Anteil mineralische Körner? </t>
    </r>
  </si>
  <si>
    <r>
      <t xml:space="preserve">Konzentrat der Metalle_goL &lt; 1 mm: </t>
    </r>
    <r>
      <rPr>
        <sz val="10"/>
        <color theme="1"/>
        <rFont val="Arial Narrow"/>
        <family val="2"/>
      </rPr>
      <t>hoher Anteil schwarze Körner?</t>
    </r>
  </si>
  <si>
    <t>(Flachdrücken der Metallköner ist im letzten Mahlschritt schwer zu vermeiden)</t>
  </si>
  <si>
    <t xml:space="preserve">Probenaufbereitungsprotokoll aussagekräftig? </t>
  </si>
  <si>
    <t>Eingangsdaten passen zu PN-Protokoll, Probenverluste ausgewiesen</t>
  </si>
  <si>
    <t>Bei Abtrennen und/oder Charakterisieren der Körner &gt; 50 mm im Labor: Angaben der Ergebnisse</t>
  </si>
  <si>
    <t>Maßstab auf den Fotos, Fotos getrennt nach Brech-Sieb-Schritten</t>
  </si>
  <si>
    <t>Untersuchung</t>
  </si>
  <si>
    <t xml:space="preserve">Mineralphase: Aufschlussrückstand  &lt; ca. 70 %? </t>
  </si>
  <si>
    <r>
      <t xml:space="preserve">Konzentrat der Metalle_goL &lt; 1 mm: </t>
    </r>
    <r>
      <rPr>
        <sz val="10"/>
        <color theme="1"/>
        <rFont val="Arial Narrow"/>
        <family val="2"/>
      </rPr>
      <t xml:space="preserve">Aufschlussrückstand  &lt; 50 %? </t>
    </r>
  </si>
  <si>
    <t>der Plausibilität der Ergebnisse ist gegeben, wenn alle Anworten als i.O bewertet werden</t>
  </si>
  <si>
    <t xml:space="preserve"> bzw. bei nicht kritischen Punkten keine Veranlassung zu Rückfrage besteht. </t>
  </si>
  <si>
    <t>und Probenahmen zu Zwischenuntersuchungen (mindestens 2 Laborproben) zu unterscheiden</t>
  </si>
  <si>
    <t>und es ist zwischen den Probenahmen zur Grund- oder wiederkehrenden Untersuchung (mindestens 5 Laborproben)</t>
  </si>
  <si>
    <t>ist die Streuung bei Ergebnissen &gt; 100 mg/kg größer als 10 %?</t>
  </si>
  <si>
    <t>wurden die Einzelwerte der Mehrfachbestimmungen übermittelt?</t>
  </si>
  <si>
    <t>Probenahme:</t>
  </si>
  <si>
    <t>Beprobung der Schlacke nach Praxisleitfaden Punkt 2.3.2 als Anpassung der LAGA PN 98</t>
  </si>
  <si>
    <t>Charakterisierung und Quantifizierung der bei der Probenaufbereitung ausgeschleusten Bestandteile</t>
  </si>
  <si>
    <t>einschließlich Dokumentation und Fotodokumentation zumindest der ausgeschleusten Bestandteile</t>
  </si>
  <si>
    <t>Probenahmeplanung:</t>
  </si>
  <si>
    <t>Probenvorbereitung:</t>
  </si>
  <si>
    <t xml:space="preserve">Vorbereitung der Laborproben zu Teilproben für die Untersuchung der </t>
  </si>
  <si>
    <t>- Mineralphase (&lt; 0,25 mm)</t>
  </si>
  <si>
    <t xml:space="preserve">Um eine Auswertung zu ermöglichen, müssen die Fotos einen Maßstab enthalten und soll der Abbildungsmaßstab der Kongröße angepasst werden. </t>
  </si>
  <si>
    <t>Untersuchung der vorbereiteten Laborproben</t>
  </si>
  <si>
    <t>Neben den auf Originalsubstanz umgerechneten Endergebnissen erhält der Auftraggeber die auf Trockenmasse bezogenen  Analysen(roh-)ergebnisse.</t>
  </si>
  <si>
    <t>Bewertung der Analysenergebnisse</t>
  </si>
  <si>
    <t>Grunduntersuchung:</t>
  </si>
  <si>
    <t>durch Trocknen und schonende Zerkleinerung in mehreren Teilschritten</t>
  </si>
  <si>
    <t xml:space="preserve">Bei Grund- und wiederkehrenden Untersuchungen umfasst sie die </t>
  </si>
  <si>
    <t>Aufbewahrungsfristen:</t>
  </si>
  <si>
    <t xml:space="preserve">Rückstellproben der getrockeneten Schlacke sind 1 Jahr, </t>
  </si>
  <si>
    <t xml:space="preserve">Die Untersuchung der Laborproben erfolgt nach Praxisleitfaden Punkt 2.4 und Anhang 5. </t>
  </si>
  <si>
    <t>Die Bestimmung aller Parameter erfolgt (mindestens) Doppelbestimmung. Dazu werden alle Aufschlüsse bzw. Eluate mindestens doppelt hergestellt.</t>
  </si>
  <si>
    <t xml:space="preserve">Bei Säureaufschlüssen wird der Aufschlussrückstand quantifiziert. </t>
  </si>
  <si>
    <t>Zur Bewertung werden anhand der auf Originalsubstanz der Schlacke bezogenen Analysewerten geprüft, ob</t>
  </si>
  <si>
    <t xml:space="preserve">Wiederkehrende Untersuchungen: </t>
  </si>
  <si>
    <t xml:space="preserve">Festlegung der Zahl von Grunduntersuchungen und der Häufigkeiten </t>
  </si>
  <si>
    <t xml:space="preserve">von wiederkehrenden Untersuchungen und Zwischenuntersuchungen </t>
  </si>
  <si>
    <t xml:space="preserve">Erstellen und Abstimmen eines Probenahmeplans nach LAGA PN 98 </t>
  </si>
  <si>
    <t>und Praxisleitfaden Punkt 2.3.1</t>
  </si>
  <si>
    <t xml:space="preserve">Die Probenvorbereitung unterscheidet sich für Grund- und wiederkehrende </t>
  </si>
  <si>
    <t xml:space="preserve">Untersuchungen einerseits und Zwischenuntersuchungen andererseits. </t>
  </si>
  <si>
    <t>Sie erfolgt nach der Methode des Praxisleitfadens (Punkt 2.4 und Anhang 3).</t>
  </si>
  <si>
    <t xml:space="preserve">- der Partikel &lt; 1mm der gediegenen oder in Legierung auftretenden Metalle
  ("Metalle_goL") </t>
  </si>
  <si>
    <t>einschließlich Dokumentation und Fotodokumentation der in den einzelnen Schritten ausgeschleusten Materialien.</t>
  </si>
  <si>
    <t>Bei Zwischenuntersuchungen nach risikobasiertem Ansatz wird das Eluat hergestellt und eine Teilprobe als Rückstellprobe getrocknet.</t>
  </si>
  <si>
    <t>die vorbereiteten Proben und die ausgeschleusten Bestandteile sind mindestens 3 Monate nach Übermittlung des Berichts aufzubewahren</t>
  </si>
  <si>
    <t>Bei Zwischenuntersuchungen nach dem im Praxisleitfaden dargestellten</t>
  </si>
  <si>
    <t>"risikobasierten Ansatz"  werden die Konzentrationen von Cu, Ni, Pb und Zn nach den Zuordnungswerten der DK II nach Deponieverordnung bewertet.</t>
  </si>
  <si>
    <t xml:space="preserve"> die Hazard Indices für HP 5, HP 6, HP 7, HP 8, HP 10 und HP 14 jeweils den Wert 1 nicht überschreiten</t>
  </si>
  <si>
    <t xml:space="preserve"> der pH des Eluats den Wert 12,5 nicht übersteigt oder die löslichen Anteile von Natrium und Kalium so gering sind, dass NaOH und KOH in der Schlacke die Berücksichtigungsgrenze für HP 4 (1 %) nicht überschreiten oder die Summe unter der Konzentrationsgrenze von 5 % liegt.</t>
  </si>
  <si>
    <t xml:space="preserve"> der Hazard Index für HP 14 den Wert 1 nicht überschreitet (Cu, Ni, Pb und Zn in der Mineralphase und in den Partikeln &lt; 1 mm der Metalle_goL</t>
  </si>
  <si>
    <t xml:space="preserve">Zur Bewertung werden anhand der auf Originalsubstanz der Schlacke </t>
  </si>
  <si>
    <t>bezogenen Analysewerten geprüft, ob</t>
  </si>
  <si>
    <t>abschließend wird geprüft, ob bei den Parametern, die nicht über Hazard Indices bewertet werden, die ermittelten Gesamtgehalte in der Mineralphase unter den in Tabelle 1 wiedergegebenen 95.Perzentilwerten Europäischer HMV-Schlacken liegen.</t>
  </si>
  <si>
    <t xml:space="preserve">Beauftragung von Untersuchungen nach Praxisleitfaden </t>
  </si>
  <si>
    <t xml:space="preserve">Die Beauftragung sollte explizit folgende Punkte umfassen: </t>
  </si>
  <si>
    <t xml:space="preserve">Anlage 2 zum </t>
  </si>
  <si>
    <t xml:space="preserve"> der TOC &lt;= 3 % besträgt und somit davon ausgegangen werden kann, dass keine organischen Einzelstoffe in Konzentrationen über 0,1 % vorliegen.</t>
  </si>
  <si>
    <t xml:space="preserve"> der TOC &lt;= 3 % beträgt und somit davon ausgegangen werden kann, dass keine organischen Einzelstoffe in Konzentrationen über 0,1 % vorliegen.</t>
  </si>
  <si>
    <t>(Version 2.2 vom 3.12.2023)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</si>
</sst>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0.0%"/>
    <numFmt numFmtId="165" formatCode="#0.????"/>
    <numFmt numFmtId="166" formatCode="0.0"/>
    <numFmt numFmtId="167" formatCode="0.000"/>
    <numFmt numFmtId="168" formatCode="\&lt;\ 0.00"/>
    <numFmt numFmtId="169" formatCode="\&lt;\ 0"/>
    <numFmt numFmtId="170" formatCode="0.0000000000000"/>
    <numFmt numFmtId="171" formatCode="0.0\ %"/>
    <numFmt numFmtId="172" formatCode="0.000%"/>
    <numFmt numFmtId="173" formatCode="0.00;;0"/>
    <numFmt numFmtId="174" formatCode="0.0000%"/>
    <numFmt numFmtId="175" formatCode="0.00\ %"/>
    <numFmt numFmtId="176" formatCode="0.0\ %\ \ "/>
    <numFmt numFmtId="177" formatCode="&quot;ca.&quot;\ 0\ %"/>
    <numFmt numFmtId="178" formatCode="&quot;gesamt:&quot;\ 0\ \l;;"/>
  </numFmts>
  <fonts count="21" x14ac:knownFonts="1">
    <font>
      <sz val="10"/>
      <color theme="1"/>
      <name val="Arial"/>
      <family val="2"/>
    </font>
    <font>
      <sz val="10"/>
      <color theme="1"/>
      <name val="Arial"/>
      <family val="2"/>
    </font>
    <font>
      <b/>
      <sz val="10"/>
      <color theme="1"/>
      <name val="Arial"/>
      <family val="2"/>
    </font>
    <font>
      <sz val="8"/>
      <color theme="1"/>
      <name val="Arial"/>
      <family val="2"/>
    </font>
    <font>
      <sz val="10"/>
      <color theme="1"/>
      <name val="Calibri"/>
      <family val="2"/>
    </font>
    <font>
      <sz val="8"/>
      <color theme="1"/>
      <name val="Calibri"/>
      <family val="2"/>
    </font>
    <font>
      <i/>
      <sz val="10"/>
      <color theme="1"/>
      <name val="Calibri"/>
      <family val="2"/>
    </font>
    <font>
      <i/>
      <sz val="10"/>
      <color theme="1"/>
      <name val="Arial"/>
      <family val="2"/>
    </font>
    <font>
      <b/>
      <sz val="8"/>
      <color theme="1"/>
      <name val="Arial"/>
      <family val="2"/>
    </font>
    <font>
      <b/>
      <sz val="11"/>
      <color theme="1"/>
      <name val="Arial"/>
      <family val="2"/>
    </font>
    <font>
      <b/>
      <u/>
      <sz val="10"/>
      <color theme="1"/>
      <name val="Arial"/>
      <family val="2"/>
    </font>
    <font>
      <sz val="10"/>
      <color theme="1"/>
      <name val="Arial Narrow"/>
      <family val="2"/>
    </font>
    <font>
      <i/>
      <sz val="10"/>
      <color theme="1"/>
      <name val="Arial Narrow"/>
      <family val="2"/>
    </font>
    <font>
      <sz val="10"/>
      <name val="Arial Narrow"/>
      <family val="2"/>
    </font>
    <font>
      <sz val="10"/>
      <name val="Arial"/>
      <family val="2"/>
    </font>
    <font>
      <sz val="8"/>
      <name val="Arial"/>
      <family val="2"/>
    </font>
    <font>
      <b/>
      <sz val="10"/>
      <color theme="1"/>
      <name val="Arial Narrow"/>
      <family val="2"/>
    </font>
    <font>
      <i/>
      <sz val="8"/>
      <color theme="1"/>
      <name val="Arial"/>
      <family val="2"/>
    </font>
    <font>
      <b/>
      <sz val="12"/>
      <color theme="1"/>
      <name val="Arial"/>
      <family val="2"/>
    </font>
    <font>
      <sz val="14"/>
      <color theme="1"/>
      <name val="Arial"/>
      <family val="2"/>
    </font>
    <font>
      <u/>
      <sz val="10"/>
      <color theme="1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37">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rgb="FFD9D9D9"/>
      </left>
      <right style="medium">
        <color rgb="FFD9D9D9"/>
      </right>
      <top style="medium">
        <color rgb="FFD9D9D9"/>
      </top>
      <bottom style="medium">
        <color rgb="FFD9D9D9"/>
      </bottom>
      <diagonal/>
    </border>
    <border>
      <left style="medium">
        <color rgb="FFD9D9D9"/>
      </left>
      <right style="medium">
        <color rgb="FFD9D9D9"/>
      </right>
      <top/>
      <bottom style="medium">
        <color rgb="FFD9D9D9"/>
      </bottom>
      <diagonal/>
    </border>
    <border>
      <left/>
      <right/>
      <top style="medium">
        <color rgb="FFD9D9D9"/>
      </top>
      <bottom style="medium">
        <color rgb="FFD9D9D9"/>
      </bottom>
      <diagonal/>
    </border>
    <border>
      <left style="medium">
        <color rgb="FFD9D9D9"/>
      </left>
      <right/>
      <top style="medium">
        <color rgb="FFD9D9D9"/>
      </top>
      <bottom style="medium">
        <color rgb="FFD9D9D9"/>
      </bottom>
      <diagonal/>
    </border>
    <border>
      <left/>
      <right/>
      <top/>
      <bottom style="medium">
        <color rgb="FFD9D9D9"/>
      </bottom>
      <diagonal/>
    </border>
    <border>
      <left style="medium">
        <color rgb="FFD9D9D9"/>
      </left>
      <right/>
      <top/>
      <bottom style="medium">
        <color rgb="FFD9D9D9"/>
      </bottom>
      <diagonal/>
    </border>
    <border>
      <left/>
      <right style="medium">
        <color rgb="FFD9D9D9"/>
      </right>
      <top style="medium">
        <color rgb="FFD9D9D9"/>
      </top>
      <bottom style="medium">
        <color rgb="FFD9D9D9"/>
      </bottom>
      <diagonal/>
    </border>
    <border>
      <left/>
      <right style="thick">
        <color rgb="FFD9D9D9"/>
      </right>
      <top style="medium">
        <color rgb="FFD9D9D9"/>
      </top>
      <bottom style="medium">
        <color rgb="FFD9D9D9"/>
      </bottom>
      <diagonal/>
    </border>
    <border>
      <left/>
      <right/>
      <top style="medium">
        <color rgb="FFD9D9D9"/>
      </top>
      <bottom style="medium">
        <color theme="0" tint="-0.14996795556505021"/>
      </bottom>
      <diagonal/>
    </border>
    <border>
      <left style="thin">
        <color indexed="64"/>
      </left>
      <right/>
      <top style="medium">
        <color rgb="FFD9D9D9"/>
      </top>
      <bottom style="medium">
        <color theme="0" tint="-0.14996795556505021"/>
      </bottom>
      <diagonal/>
    </border>
    <border>
      <left style="thick">
        <color rgb="FFD9D9D9"/>
      </left>
      <right style="medium">
        <color rgb="FFD9D9D9"/>
      </right>
      <top style="medium">
        <color rgb="FFD9D9D9"/>
      </top>
      <bottom style="medium">
        <color rgb="FFD9D9D9"/>
      </bottom>
      <diagonal/>
    </border>
    <border>
      <left style="thin">
        <color indexed="64"/>
      </left>
      <right style="medium">
        <color rgb="FFD9D9D9"/>
      </right>
      <top style="medium">
        <color rgb="FFD9D9D9"/>
      </top>
      <bottom style="medium">
        <color rgb="FFD9D9D9"/>
      </bottom>
      <diagonal/>
    </border>
    <border>
      <left style="thin">
        <color indexed="64"/>
      </left>
      <right/>
      <top style="medium">
        <color rgb="FFD9D9D9"/>
      </top>
      <bottom style="medium">
        <color rgb="FFD9D9D9"/>
      </bottom>
      <diagonal/>
    </border>
    <border>
      <left style="medium">
        <color rgb="FFD9D9D9"/>
      </left>
      <right style="thick">
        <color rgb="FFD9D9D9"/>
      </right>
      <top style="medium">
        <color rgb="FFD9D9D9"/>
      </top>
      <bottom style="medium">
        <color rgb="FFD9D9D9"/>
      </bottom>
      <diagonal/>
    </border>
    <border>
      <left style="thin">
        <color indexed="64"/>
      </left>
      <right style="medium">
        <color rgb="FFD9D9D9"/>
      </right>
      <top/>
      <bottom style="medium">
        <color rgb="FFD9D9D9"/>
      </bottom>
      <diagonal/>
    </border>
    <border>
      <left style="thick">
        <color rgb="FFD9D9D9"/>
      </left>
      <right/>
      <top style="medium">
        <color rgb="FFD9D9D9"/>
      </top>
      <bottom style="medium">
        <color rgb="FFD9D9D9"/>
      </bottom>
      <diagonal/>
    </border>
    <border>
      <left style="medium">
        <color rgb="FFD9D9D9"/>
      </left>
      <right style="medium">
        <color rgb="FFD9D9D9"/>
      </right>
      <top style="medium">
        <color rgb="FFD9D9D9"/>
      </top>
      <bottom/>
      <diagonal/>
    </border>
    <border>
      <left/>
      <right style="medium">
        <color rgb="FFD9D9D9"/>
      </right>
      <top style="medium">
        <color rgb="FFD9D9D9"/>
      </top>
      <bottom/>
      <diagonal/>
    </border>
    <border>
      <left style="thin">
        <color indexed="64"/>
      </left>
      <right style="medium">
        <color rgb="FFD9D9D9"/>
      </right>
      <top style="medium">
        <color rgb="FFD9D9D9"/>
      </top>
      <bottom/>
      <diagonal/>
    </border>
    <border>
      <left/>
      <right style="thick">
        <color rgb="FFD9D9D9"/>
      </right>
      <top/>
      <bottom/>
      <diagonal/>
    </border>
    <border>
      <left/>
      <right style="thick">
        <color rgb="FFD9D9D9"/>
      </right>
      <top style="medium">
        <color rgb="FFD9D9D9"/>
      </top>
      <bottom/>
      <diagonal/>
    </border>
    <border>
      <left/>
      <right style="medium">
        <color rgb="FFD9D9D9"/>
      </right>
      <top/>
      <bottom style="medium">
        <color rgb="FFD9D9D9"/>
      </bottom>
      <diagonal/>
    </border>
    <border>
      <left style="thin">
        <color indexed="64"/>
      </left>
      <right/>
      <top/>
      <bottom style="medium">
        <color rgb="FFD9D9D9"/>
      </bottom>
      <diagonal/>
    </border>
    <border>
      <left/>
      <right/>
      <top style="medium">
        <color rgb="FFD9D9D9"/>
      </top>
      <bottom/>
      <diagonal/>
    </border>
    <border>
      <left style="thin">
        <color indexed="64"/>
      </left>
      <right/>
      <top style="medium">
        <color rgb="FFD9D9D9"/>
      </top>
      <bottom/>
      <diagonal/>
    </border>
    <border>
      <left/>
      <right style="thick">
        <color rgb="FFD9D9D9"/>
      </right>
      <top style="medium">
        <color rgb="FFD9D9D9"/>
      </top>
      <bottom style="medium">
        <color theme="0" tint="-0.14996795556505021"/>
      </bottom>
      <diagonal/>
    </border>
    <border>
      <left/>
      <right style="medium">
        <color theme="0" tint="-0.14993743705557422"/>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1" fillId="0" borderId="0"/>
    <xf numFmtId="0" fontId="20" fillId="0" borderId="0" applyNumberFormat="0" applyFill="0" applyBorder="0" applyAlignment="0" applyProtection="0"/>
  </cellStyleXfs>
  <cellXfs count="318">
    <xf numFmtId="0" fontId="0" fillId="0" borderId="0" xfId="0"/>
    <xf numFmtId="0" fontId="3" fillId="0" borderId="0" xfId="0" applyFont="1" applyAlignment="1">
      <alignment horizontal="right" indent="1"/>
    </xf>
    <xf numFmtId="0" fontId="0" fillId="0" borderId="1" xfId="0" applyBorder="1"/>
    <xf numFmtId="0" fontId="0" fillId="0" borderId="0" xfId="0" applyAlignment="1">
      <alignment horizontal="right" indent="2"/>
    </xf>
    <xf numFmtId="1" fontId="0" fillId="0" borderId="0" xfId="0" applyNumberFormat="1"/>
    <xf numFmtId="2" fontId="3" fillId="0" borderId="0" xfId="0" applyNumberFormat="1" applyFont="1" applyAlignment="1">
      <alignment horizontal="right"/>
    </xf>
    <xf numFmtId="0" fontId="3" fillId="0" borderId="0" xfId="0" applyFont="1"/>
    <xf numFmtId="2" fontId="0" fillId="0" borderId="0" xfId="0" applyNumberFormat="1" applyAlignment="1">
      <alignment horizontal="right"/>
    </xf>
    <xf numFmtId="0" fontId="0" fillId="0" borderId="0" xfId="0" applyAlignment="1">
      <alignment horizontal="right"/>
    </xf>
    <xf numFmtId="1" fontId="0" fillId="0" borderId="0" xfId="0" applyNumberFormat="1" applyAlignment="1">
      <alignment horizontal="right"/>
    </xf>
    <xf numFmtId="10" fontId="0" fillId="0" borderId="0" xfId="0" applyNumberFormat="1" applyAlignment="1">
      <alignment horizontal="right"/>
    </xf>
    <xf numFmtId="1" fontId="0" fillId="0" borderId="1" xfId="0" applyNumberFormat="1" applyBorder="1"/>
    <xf numFmtId="0" fontId="4" fillId="0" borderId="0" xfId="0" applyFont="1" applyAlignment="1">
      <alignment horizontal="right" vertical="center" wrapText="1" indent="2"/>
    </xf>
    <xf numFmtId="0" fontId="4" fillId="0" borderId="0" xfId="0" applyFont="1" applyAlignment="1">
      <alignment vertical="center" wrapText="1"/>
    </xf>
    <xf numFmtId="164" fontId="5" fillId="0" borderId="0" xfId="1" applyNumberFormat="1" applyFont="1" applyBorder="1" applyAlignment="1">
      <alignment horizontal="right" vertical="center" wrapText="1"/>
    </xf>
    <xf numFmtId="164" fontId="5" fillId="0" borderId="0" xfId="1" applyNumberFormat="1" applyFont="1" applyBorder="1" applyAlignment="1">
      <alignment vertical="center" wrapText="1"/>
    </xf>
    <xf numFmtId="9" fontId="3" fillId="0" borderId="0" xfId="1" applyFont="1" applyAlignment="1">
      <alignment horizontal="right" indent="2"/>
    </xf>
    <xf numFmtId="0" fontId="5" fillId="0" borderId="0" xfId="0" applyFont="1" applyAlignment="1">
      <alignment vertical="center" wrapText="1"/>
    </xf>
    <xf numFmtId="0" fontId="5" fillId="0" borderId="1" xfId="0" applyFont="1" applyBorder="1" applyAlignment="1">
      <alignment vertical="center" wrapText="1"/>
    </xf>
    <xf numFmtId="0" fontId="5" fillId="0" borderId="0" xfId="0" applyFont="1" applyAlignment="1">
      <alignment horizontal="right" vertical="center" wrapText="1" indent="2"/>
    </xf>
    <xf numFmtId="165" fontId="0" fillId="0" borderId="0" xfId="0" applyNumberFormat="1" applyAlignment="1">
      <alignment horizontal="right"/>
    </xf>
    <xf numFmtId="164" fontId="0" fillId="0" borderId="0" xfId="1" applyNumberFormat="1" applyFont="1" applyBorder="1" applyAlignment="1">
      <alignment horizontal="right"/>
    </xf>
    <xf numFmtId="0" fontId="0" fillId="0" borderId="1" xfId="0" applyBorder="1" applyAlignment="1">
      <alignment horizontal="left" indent="1"/>
    </xf>
    <xf numFmtId="166" fontId="0" fillId="0" borderId="0" xfId="0" applyNumberFormat="1"/>
    <xf numFmtId="166" fontId="0" fillId="0" borderId="0" xfId="0" applyNumberFormat="1" applyAlignment="1">
      <alignment horizontal="right" indent="2"/>
    </xf>
    <xf numFmtId="167" fontId="0" fillId="0" borderId="0" xfId="0" applyNumberFormat="1"/>
    <xf numFmtId="1" fontId="0" fillId="0" borderId="0" xfId="0" applyNumberFormat="1" applyAlignment="1">
      <alignment horizontal="right" indent="2"/>
    </xf>
    <xf numFmtId="167" fontId="0" fillId="0" borderId="0" xfId="0" applyNumberFormat="1" applyAlignment="1">
      <alignment horizontal="right" indent="2"/>
    </xf>
    <xf numFmtId="167" fontId="3" fillId="0" borderId="0" xfId="0" applyNumberFormat="1" applyFont="1" applyAlignment="1">
      <alignment horizontal="right"/>
    </xf>
    <xf numFmtId="0" fontId="2" fillId="0" borderId="1" xfId="0" applyFont="1" applyBorder="1"/>
    <xf numFmtId="166" fontId="4" fillId="0" borderId="0" xfId="0" applyNumberFormat="1" applyFont="1" applyAlignment="1">
      <alignment vertical="center" wrapText="1"/>
    </xf>
    <xf numFmtId="1" fontId="4" fillId="0" borderId="0" xfId="0" applyNumberFormat="1" applyFont="1" applyAlignment="1">
      <alignment vertical="center" wrapText="1"/>
    </xf>
    <xf numFmtId="2" fontId="6" fillId="0" borderId="0" xfId="0" applyNumberFormat="1" applyFont="1" applyAlignment="1">
      <alignment vertical="center" wrapText="1"/>
    </xf>
    <xf numFmtId="0" fontId="4" fillId="0" borderId="0" xfId="0" applyFont="1" applyAlignment="1">
      <alignment horizontal="right" vertical="center" wrapText="1"/>
    </xf>
    <xf numFmtId="1" fontId="2" fillId="0" borderId="1" xfId="0" applyNumberFormat="1" applyFont="1" applyBorder="1"/>
    <xf numFmtId="1" fontId="3" fillId="0" borderId="0" xfId="0" applyNumberFormat="1" applyFont="1" applyAlignment="1">
      <alignment horizontal="right" indent="2"/>
    </xf>
    <xf numFmtId="10" fontId="3" fillId="0" borderId="0" xfId="0" applyNumberFormat="1" applyFont="1" applyAlignment="1">
      <alignment horizontal="right" indent="2"/>
    </xf>
    <xf numFmtId="1" fontId="3" fillId="0" borderId="0" xfId="0" applyNumberFormat="1" applyFont="1"/>
    <xf numFmtId="2" fontId="0" fillId="0" borderId="0" xfId="1" applyNumberFormat="1" applyFont="1" applyBorder="1" applyAlignment="1"/>
    <xf numFmtId="1" fontId="0" fillId="0" borderId="2" xfId="0" applyNumberFormat="1" applyBorder="1" applyAlignment="1">
      <alignment horizontal="right"/>
    </xf>
    <xf numFmtId="164" fontId="0" fillId="0" borderId="0" xfId="1" applyNumberFormat="1" applyFont="1" applyBorder="1"/>
    <xf numFmtId="164" fontId="0" fillId="0" borderId="1" xfId="1" applyNumberFormat="1" applyFont="1" applyBorder="1"/>
    <xf numFmtId="168" fontId="0" fillId="0" borderId="0" xfId="0" applyNumberFormat="1" applyAlignment="1">
      <alignment horizontal="right"/>
    </xf>
    <xf numFmtId="169" fontId="7" fillId="0" borderId="0" xfId="0" applyNumberFormat="1" applyFont="1" applyAlignment="1">
      <alignment horizontal="right"/>
    </xf>
    <xf numFmtId="0" fontId="0" fillId="0" borderId="2" xfId="0" applyBorder="1"/>
    <xf numFmtId="2" fontId="0" fillId="0" borderId="0" xfId="0" applyNumberFormat="1"/>
    <xf numFmtId="2" fontId="0" fillId="0" borderId="2" xfId="0" applyNumberFormat="1" applyBorder="1"/>
    <xf numFmtId="169" fontId="0" fillId="0" borderId="0" xfId="0" applyNumberFormat="1" applyAlignment="1">
      <alignment horizontal="right" indent="2"/>
    </xf>
    <xf numFmtId="168" fontId="0" fillId="0" borderId="2" xfId="0" applyNumberFormat="1" applyBorder="1" applyAlignment="1">
      <alignment horizontal="right"/>
    </xf>
    <xf numFmtId="1" fontId="0" fillId="0" borderId="2" xfId="0" applyNumberFormat="1" applyBorder="1"/>
    <xf numFmtId="2" fontId="0" fillId="0" borderId="2" xfId="0" applyNumberFormat="1" applyBorder="1" applyAlignment="1">
      <alignment horizontal="right"/>
    </xf>
    <xf numFmtId="1" fontId="0" fillId="0" borderId="1" xfId="0" applyNumberFormat="1" applyBorder="1" applyAlignment="1">
      <alignment horizontal="right"/>
    </xf>
    <xf numFmtId="166" fontId="0" fillId="0" borderId="0" xfId="0" applyNumberFormat="1" applyAlignment="1">
      <alignment horizontal="right"/>
    </xf>
    <xf numFmtId="169" fontId="0" fillId="0" borderId="0" xfId="0" applyNumberFormat="1" applyAlignment="1">
      <alignment horizontal="right"/>
    </xf>
    <xf numFmtId="169" fontId="0" fillId="0" borderId="2" xfId="0" applyNumberFormat="1" applyBorder="1" applyAlignment="1">
      <alignment horizontal="right"/>
    </xf>
    <xf numFmtId="164" fontId="0" fillId="0" borderId="1" xfId="1" applyNumberFormat="1" applyFont="1" applyBorder="1" applyAlignment="1">
      <alignment horizontal="left" indent="1"/>
    </xf>
    <xf numFmtId="0" fontId="0" fillId="0" borderId="0" xfId="0" applyAlignment="1">
      <alignment horizontal="left" indent="1"/>
    </xf>
    <xf numFmtId="9" fontId="0" fillId="0" borderId="0" xfId="1" applyFont="1" applyAlignment="1">
      <alignment horizontal="right"/>
    </xf>
    <xf numFmtId="10" fontId="0" fillId="0" borderId="0" xfId="1" applyNumberFormat="1" applyFont="1" applyBorder="1" applyAlignment="1"/>
    <xf numFmtId="10" fontId="0" fillId="0" borderId="0" xfId="0" applyNumberFormat="1"/>
    <xf numFmtId="10" fontId="0" fillId="0" borderId="0" xfId="1" applyNumberFormat="1" applyFont="1" applyBorder="1" applyAlignment="1">
      <alignment horizontal="right"/>
    </xf>
    <xf numFmtId="1" fontId="0" fillId="0" borderId="1" xfId="0" applyNumberFormat="1" applyBorder="1" applyAlignment="1">
      <alignment horizontal="left" indent="1"/>
    </xf>
    <xf numFmtId="164" fontId="0" fillId="0" borderId="0" xfId="0" applyNumberFormat="1" applyAlignment="1">
      <alignment horizontal="right" indent="2"/>
    </xf>
    <xf numFmtId="0" fontId="7" fillId="0" borderId="0" xfId="0" applyFont="1" applyAlignment="1">
      <alignment horizontal="right"/>
    </xf>
    <xf numFmtId="171" fontId="0" fillId="0" borderId="0" xfId="1" applyNumberFormat="1" applyFont="1" applyFill="1" applyBorder="1"/>
    <xf numFmtId="171" fontId="0" fillId="0" borderId="2" xfId="1" applyNumberFormat="1" applyFont="1" applyFill="1" applyBorder="1"/>
    <xf numFmtId="10" fontId="0" fillId="0" borderId="0" xfId="1" applyNumberFormat="1" applyFont="1" applyBorder="1"/>
    <xf numFmtId="0" fontId="3" fillId="0" borderId="0" xfId="0" applyFont="1" applyAlignment="1">
      <alignment horizontal="right"/>
    </xf>
    <xf numFmtId="171" fontId="0" fillId="0" borderId="0" xfId="1" applyNumberFormat="1" applyFont="1" applyFill="1" applyBorder="1" applyAlignment="1">
      <alignment horizontal="right" indent="2"/>
    </xf>
    <xf numFmtId="164" fontId="0" fillId="0" borderId="0" xfId="1" applyNumberFormat="1" applyFont="1" applyBorder="1" applyAlignment="1"/>
    <xf numFmtId="0" fontId="8" fillId="0" borderId="0" xfId="0" applyFont="1" applyAlignment="1">
      <alignment horizontal="right" indent="1"/>
    </xf>
    <xf numFmtId="0" fontId="2" fillId="0" borderId="0" xfId="0" applyFont="1"/>
    <xf numFmtId="164" fontId="0" fillId="0" borderId="0" xfId="0" applyNumberFormat="1"/>
    <xf numFmtId="164" fontId="0" fillId="0" borderId="2" xfId="0" applyNumberFormat="1" applyBorder="1"/>
    <xf numFmtId="0" fontId="0" fillId="0" borderId="3" xfId="0" applyBorder="1" applyAlignment="1">
      <alignment horizontal="center"/>
    </xf>
    <xf numFmtId="0" fontId="0" fillId="0" borderId="4" xfId="0" applyBorder="1" applyAlignment="1">
      <alignment horizontal="center"/>
    </xf>
    <xf numFmtId="0" fontId="3" fillId="0" borderId="4" xfId="0" applyFont="1" applyBorder="1" applyAlignment="1">
      <alignment horizontal="center"/>
    </xf>
    <xf numFmtId="0" fontId="3" fillId="0" borderId="4" xfId="0" applyFont="1" applyBorder="1" applyAlignment="1">
      <alignment horizontal="right"/>
    </xf>
    <xf numFmtId="0" fontId="0" fillId="0" borderId="2" xfId="0" applyBorder="1" applyAlignment="1">
      <alignment horizontal="center" vertical="top" wrapText="1"/>
    </xf>
    <xf numFmtId="0" fontId="0" fillId="0" borderId="0" xfId="0" applyAlignment="1">
      <alignment horizontal="center" vertical="top" wrapText="1"/>
    </xf>
    <xf numFmtId="0" fontId="0" fillId="0" borderId="0" xfId="0" applyAlignment="1">
      <alignment horizontal="center" vertical="top"/>
    </xf>
    <xf numFmtId="0" fontId="3" fillId="0" borderId="1" xfId="0" applyFont="1" applyBorder="1" applyAlignment="1">
      <alignment horizontal="right" indent="1"/>
    </xf>
    <xf numFmtId="164" fontId="0" fillId="0" borderId="2" xfId="1" applyNumberFormat="1" applyFont="1" applyBorder="1"/>
    <xf numFmtId="164" fontId="0" fillId="0" borderId="0" xfId="1" applyNumberFormat="1" applyFont="1" applyBorder="1" applyAlignment="1">
      <alignment horizontal="right" indent="2"/>
    </xf>
    <xf numFmtId="0" fontId="0" fillId="0" borderId="0" xfId="0" applyAlignment="1">
      <alignment vertical="top" wrapText="1"/>
    </xf>
    <xf numFmtId="0" fontId="0" fillId="0" borderId="2" xfId="0" applyBorder="1" applyAlignment="1">
      <alignment horizontal="right" wrapText="1" indent="1"/>
    </xf>
    <xf numFmtId="0" fontId="0" fillId="0" borderId="0" xfId="0" applyAlignment="1">
      <alignment horizontal="right" wrapText="1" indent="1"/>
    </xf>
    <xf numFmtId="0" fontId="0" fillId="0" borderId="7" xfId="0" applyBorder="1" applyAlignment="1">
      <alignment vertical="top" wrapText="1"/>
    </xf>
    <xf numFmtId="0" fontId="0" fillId="0" borderId="7" xfId="0" applyBorder="1" applyAlignment="1">
      <alignment horizontal="right" vertical="top" wrapText="1" indent="2"/>
    </xf>
    <xf numFmtId="0" fontId="0" fillId="0" borderId="7" xfId="0" applyBorder="1" applyAlignment="1">
      <alignment horizontal="left" vertical="top" wrapText="1"/>
    </xf>
    <xf numFmtId="0" fontId="0" fillId="0" borderId="0" xfId="0" applyAlignment="1">
      <alignment wrapText="1"/>
    </xf>
    <xf numFmtId="0" fontId="9" fillId="0" borderId="0" xfId="0" applyFont="1" applyAlignment="1">
      <alignment vertical="top" wrapText="1"/>
    </xf>
    <xf numFmtId="1" fontId="0" fillId="0" borderId="0" xfId="0" applyNumberFormat="1" applyAlignment="1">
      <alignment horizontal="left"/>
    </xf>
    <xf numFmtId="0" fontId="0" fillId="3" borderId="0" xfId="0" applyFill="1"/>
    <xf numFmtId="0" fontId="0" fillId="3" borderId="1" xfId="0" applyFill="1" applyBorder="1"/>
    <xf numFmtId="0" fontId="0" fillId="0" borderId="0" xfId="0" applyAlignment="1">
      <alignment vertical="top"/>
    </xf>
    <xf numFmtId="0" fontId="3" fillId="0" borderId="7" xfId="0" applyFont="1" applyBorder="1" applyAlignment="1">
      <alignment horizontal="left" vertical="top"/>
    </xf>
    <xf numFmtId="0" fontId="0" fillId="0" borderId="8" xfId="0" applyBorder="1" applyAlignment="1">
      <alignment horizontal="left" vertical="top"/>
    </xf>
    <xf numFmtId="0" fontId="2" fillId="0" borderId="1" xfId="0" applyFont="1" applyBorder="1" applyAlignment="1">
      <alignment vertical="top"/>
    </xf>
    <xf numFmtId="0" fontId="0" fillId="0" borderId="0" xfId="0" applyAlignment="1">
      <alignment horizontal="right" vertical="top"/>
    </xf>
    <xf numFmtId="0" fontId="0" fillId="3" borderId="0" xfId="0" applyFill="1" applyAlignment="1">
      <alignment vertical="top"/>
    </xf>
    <xf numFmtId="0" fontId="2" fillId="3" borderId="1" xfId="0" applyFont="1" applyFill="1" applyBorder="1" applyAlignment="1">
      <alignment vertical="top"/>
    </xf>
    <xf numFmtId="0" fontId="2" fillId="0" borderId="0" xfId="0" applyFont="1" applyAlignment="1">
      <alignment vertical="top"/>
    </xf>
    <xf numFmtId="0" fontId="3" fillId="3" borderId="0" xfId="0" applyFont="1" applyFill="1" applyAlignment="1">
      <alignment horizontal="left"/>
    </xf>
    <xf numFmtId="0" fontId="3" fillId="3" borderId="0" xfId="0" applyFont="1" applyFill="1"/>
    <xf numFmtId="167" fontId="4" fillId="3" borderId="9" xfId="1" applyNumberFormat="1" applyFont="1" applyFill="1" applyBorder="1" applyAlignment="1">
      <alignment horizontal="right" vertical="center" wrapText="1"/>
    </xf>
    <xf numFmtId="1" fontId="4" fillId="3" borderId="9" xfId="1" applyNumberFormat="1" applyFont="1" applyFill="1" applyBorder="1" applyAlignment="1">
      <alignment horizontal="right" vertical="center" wrapText="1"/>
    </xf>
    <xf numFmtId="0" fontId="11" fillId="3" borderId="0" xfId="0" applyFont="1" applyFill="1" applyAlignment="1">
      <alignment horizontal="right"/>
    </xf>
    <xf numFmtId="0" fontId="0" fillId="3" borderId="0" xfId="0" applyFill="1" applyAlignment="1">
      <alignment horizontal="right"/>
    </xf>
    <xf numFmtId="0" fontId="11" fillId="3" borderId="0" xfId="0" applyFont="1" applyFill="1"/>
    <xf numFmtId="167" fontId="4" fillId="3" borderId="10" xfId="1" applyNumberFormat="1" applyFont="1" applyFill="1" applyBorder="1" applyAlignment="1">
      <alignment horizontal="right" vertical="center" wrapText="1"/>
    </xf>
    <xf numFmtId="1" fontId="4" fillId="3" borderId="10" xfId="1" applyNumberFormat="1" applyFont="1" applyFill="1" applyBorder="1" applyAlignment="1">
      <alignment horizontal="right" vertical="center" wrapText="1"/>
    </xf>
    <xf numFmtId="167" fontId="4" fillId="3" borderId="0" xfId="1" applyNumberFormat="1" applyFont="1" applyFill="1" applyBorder="1" applyAlignment="1">
      <alignment horizontal="right" vertical="center" wrapText="1"/>
    </xf>
    <xf numFmtId="1" fontId="4" fillId="3" borderId="0" xfId="1" applyNumberFormat="1" applyFont="1" applyFill="1" applyBorder="1" applyAlignment="1">
      <alignment horizontal="right" vertical="center" wrapText="1"/>
    </xf>
    <xf numFmtId="1" fontId="4" fillId="3" borderId="11" xfId="1" applyNumberFormat="1" applyFont="1" applyFill="1" applyBorder="1" applyAlignment="1">
      <alignment horizontal="right" vertical="center" wrapText="1"/>
    </xf>
    <xf numFmtId="1" fontId="4" fillId="3" borderId="12" xfId="1" applyNumberFormat="1" applyFont="1" applyFill="1" applyBorder="1" applyAlignment="1">
      <alignment horizontal="right" vertical="center" wrapText="1"/>
    </xf>
    <xf numFmtId="1" fontId="4" fillId="3" borderId="13" xfId="1" applyNumberFormat="1" applyFont="1" applyFill="1" applyBorder="1" applyAlignment="1">
      <alignment horizontal="right" vertical="center" wrapText="1"/>
    </xf>
    <xf numFmtId="1" fontId="4" fillId="3" borderId="14" xfId="1" applyNumberFormat="1" applyFont="1" applyFill="1" applyBorder="1" applyAlignment="1">
      <alignment horizontal="right" vertical="center" wrapText="1"/>
    </xf>
    <xf numFmtId="1" fontId="0" fillId="3" borderId="0" xfId="1" quotePrefix="1" applyNumberFormat="1" applyFont="1" applyFill="1" applyBorder="1" applyAlignment="1">
      <alignment horizontal="left" vertical="center"/>
    </xf>
    <xf numFmtId="0" fontId="2" fillId="3" borderId="0" xfId="0" applyFont="1" applyFill="1"/>
    <xf numFmtId="9" fontId="3" fillId="3" borderId="0" xfId="1" applyFont="1" applyFill="1" applyBorder="1" applyAlignment="1">
      <alignment horizontal="left"/>
    </xf>
    <xf numFmtId="0" fontId="7" fillId="3" borderId="0" xfId="0" applyFont="1" applyFill="1"/>
    <xf numFmtId="2" fontId="7" fillId="3" borderId="9" xfId="1" applyNumberFormat="1" applyFont="1" applyFill="1" applyBorder="1" applyAlignment="1">
      <alignment horizontal="right" vertical="center" wrapText="1"/>
    </xf>
    <xf numFmtId="2" fontId="7" fillId="3" borderId="15" xfId="1" applyNumberFormat="1" applyFont="1" applyFill="1" applyBorder="1" applyAlignment="1">
      <alignment horizontal="right" vertical="center" wrapText="1"/>
    </xf>
    <xf numFmtId="0" fontId="7" fillId="3" borderId="16" xfId="0" applyFont="1" applyFill="1" applyBorder="1"/>
    <xf numFmtId="0" fontId="7" fillId="3" borderId="17" xfId="0" applyFont="1" applyFill="1" applyBorder="1"/>
    <xf numFmtId="0" fontId="12" fillId="3" borderId="17" xfId="0" applyFont="1" applyFill="1" applyBorder="1"/>
    <xf numFmtId="172" fontId="7" fillId="3" borderId="17" xfId="1" applyNumberFormat="1" applyFont="1" applyFill="1" applyBorder="1"/>
    <xf numFmtId="0" fontId="12" fillId="3" borderId="18" xfId="0" applyFont="1" applyFill="1" applyBorder="1" applyAlignment="1">
      <alignment horizontal="left" indent="1"/>
    </xf>
    <xf numFmtId="2" fontId="0" fillId="3" borderId="9" xfId="1" applyNumberFormat="1" applyFont="1" applyFill="1" applyBorder="1" applyAlignment="1">
      <alignment horizontal="right" vertical="center" wrapText="1"/>
    </xf>
    <xf numFmtId="1" fontId="0" fillId="3" borderId="19" xfId="1" applyNumberFormat="1" applyFont="1" applyFill="1" applyBorder="1" applyAlignment="1">
      <alignment horizontal="right" vertical="center" wrapText="1"/>
    </xf>
    <xf numFmtId="1" fontId="0" fillId="3" borderId="9" xfId="1" applyNumberFormat="1" applyFont="1" applyFill="1" applyBorder="1" applyAlignment="1">
      <alignment horizontal="right" vertical="center" wrapText="1"/>
    </xf>
    <xf numFmtId="1" fontId="11" fillId="3" borderId="9" xfId="1" applyNumberFormat="1" applyFont="1" applyFill="1" applyBorder="1" applyAlignment="1">
      <alignment horizontal="right" vertical="center" wrapText="1"/>
    </xf>
    <xf numFmtId="10" fontId="0" fillId="3" borderId="9" xfId="1" applyNumberFormat="1" applyFont="1" applyFill="1" applyBorder="1" applyAlignment="1">
      <alignment horizontal="right" vertical="center" wrapText="1"/>
    </xf>
    <xf numFmtId="172" fontId="0" fillId="3" borderId="9" xfId="1" applyNumberFormat="1" applyFont="1" applyFill="1" applyBorder="1" applyAlignment="1">
      <alignment vertical="center" wrapText="1"/>
    </xf>
    <xf numFmtId="0" fontId="0" fillId="3" borderId="9" xfId="0" applyFill="1" applyBorder="1" applyAlignment="1">
      <alignment vertical="center" wrapText="1"/>
    </xf>
    <xf numFmtId="10" fontId="0" fillId="3" borderId="9" xfId="1" applyNumberFormat="1" applyFont="1" applyFill="1" applyBorder="1" applyAlignment="1">
      <alignment vertical="center" wrapText="1"/>
    </xf>
    <xf numFmtId="164" fontId="0" fillId="3" borderId="9" xfId="1" applyNumberFormat="1" applyFont="1" applyFill="1" applyBorder="1" applyAlignment="1">
      <alignment vertical="center" wrapText="1"/>
    </xf>
    <xf numFmtId="0" fontId="11" fillId="3" borderId="9" xfId="0" applyFont="1" applyFill="1" applyBorder="1" applyAlignment="1">
      <alignment vertical="center" wrapText="1"/>
    </xf>
    <xf numFmtId="0" fontId="0" fillId="3" borderId="20" xfId="0" applyFill="1" applyBorder="1" applyAlignment="1">
      <alignment horizontal="left" vertical="center" wrapText="1" indent="1"/>
    </xf>
    <xf numFmtId="167" fontId="0" fillId="3" borderId="9" xfId="1" applyNumberFormat="1" applyFont="1" applyFill="1" applyBorder="1" applyAlignment="1">
      <alignment horizontal="right" vertical="center" wrapText="1"/>
    </xf>
    <xf numFmtId="167" fontId="0" fillId="3" borderId="15" xfId="1" applyNumberFormat="1" applyFont="1" applyFill="1" applyBorder="1" applyAlignment="1">
      <alignment horizontal="right" vertical="center" wrapText="1"/>
    </xf>
    <xf numFmtId="167" fontId="0" fillId="3" borderId="11" xfId="1" applyNumberFormat="1" applyFont="1" applyFill="1" applyBorder="1" applyAlignment="1">
      <alignment horizontal="right" vertical="center" wrapText="1"/>
    </xf>
    <xf numFmtId="1" fontId="0" fillId="3" borderId="13" xfId="1" applyNumberFormat="1" applyFont="1" applyFill="1" applyBorder="1" applyAlignment="1">
      <alignment horizontal="right" vertical="center" wrapText="1"/>
    </xf>
    <xf numFmtId="1" fontId="0" fillId="3" borderId="11" xfId="1" applyNumberFormat="1" applyFont="1" applyFill="1" applyBorder="1" applyAlignment="1">
      <alignment horizontal="right" vertical="center" wrapText="1"/>
    </xf>
    <xf numFmtId="10" fontId="11" fillId="3" borderId="11" xfId="1" applyNumberFormat="1" applyFont="1" applyFill="1" applyBorder="1" applyAlignment="1">
      <alignment horizontal="right" vertical="center" wrapText="1"/>
    </xf>
    <xf numFmtId="10" fontId="0" fillId="3" borderId="11" xfId="1" applyNumberFormat="1" applyFont="1" applyFill="1" applyBorder="1" applyAlignment="1">
      <alignment horizontal="right" vertical="center" wrapText="1"/>
    </xf>
    <xf numFmtId="172" fontId="0" fillId="3" borderId="11" xfId="1" applyNumberFormat="1" applyFont="1" applyFill="1" applyBorder="1" applyAlignment="1">
      <alignment vertical="center" wrapText="1"/>
    </xf>
    <xf numFmtId="0" fontId="0" fillId="3" borderId="11" xfId="0" applyFill="1" applyBorder="1" applyAlignment="1">
      <alignment vertical="center" wrapText="1"/>
    </xf>
    <xf numFmtId="10" fontId="0" fillId="3" borderId="11" xfId="1" applyNumberFormat="1" applyFont="1" applyFill="1" applyBorder="1" applyAlignment="1">
      <alignment vertical="center" wrapText="1"/>
    </xf>
    <xf numFmtId="164" fontId="0" fillId="3" borderId="11" xfId="1" applyNumberFormat="1" applyFont="1" applyFill="1" applyBorder="1" applyAlignment="1">
      <alignment vertical="center" wrapText="1"/>
    </xf>
    <xf numFmtId="0" fontId="11" fillId="3" borderId="11" xfId="0" applyFont="1" applyFill="1" applyBorder="1" applyAlignment="1">
      <alignment vertical="center" wrapText="1"/>
    </xf>
    <xf numFmtId="0" fontId="2" fillId="3" borderId="21" xfId="2" applyFont="1" applyFill="1" applyBorder="1"/>
    <xf numFmtId="0" fontId="12" fillId="3" borderId="0" xfId="0" applyFont="1" applyFill="1"/>
    <xf numFmtId="172" fontId="7" fillId="3" borderId="0" xfId="1" applyNumberFormat="1" applyFont="1" applyFill="1"/>
    <xf numFmtId="0" fontId="12" fillId="3" borderId="1" xfId="0" applyFont="1" applyFill="1" applyBorder="1" applyAlignment="1">
      <alignment horizontal="left" indent="1"/>
    </xf>
    <xf numFmtId="167" fontId="4" fillId="2" borderId="0" xfId="1" applyNumberFormat="1" applyFont="1" applyFill="1" applyBorder="1" applyAlignment="1">
      <alignment horizontal="right" vertical="center" wrapText="1"/>
    </xf>
    <xf numFmtId="1" fontId="0" fillId="3" borderId="22" xfId="1" applyNumberFormat="1" applyFont="1" applyFill="1" applyBorder="1" applyAlignment="1">
      <alignment horizontal="right" vertical="center" wrapText="1"/>
    </xf>
    <xf numFmtId="0" fontId="8" fillId="3" borderId="0" xfId="0" applyFont="1" applyFill="1"/>
    <xf numFmtId="167" fontId="0" fillId="3" borderId="9" xfId="1" applyNumberFormat="1" applyFont="1" applyFill="1" applyBorder="1" applyAlignment="1">
      <alignment horizontal="center" vertical="center" wrapText="1"/>
    </xf>
    <xf numFmtId="167" fontId="0" fillId="3" borderId="15" xfId="1" applyNumberFormat="1" applyFont="1" applyFill="1" applyBorder="1" applyAlignment="1">
      <alignment horizontal="center" vertical="center" wrapText="1"/>
    </xf>
    <xf numFmtId="1" fontId="0" fillId="3" borderId="22" xfId="1" applyNumberFormat="1" applyFont="1" applyFill="1" applyBorder="1" applyAlignment="1">
      <alignment horizontal="center" vertical="center" wrapText="1"/>
    </xf>
    <xf numFmtId="1" fontId="0" fillId="3" borderId="9" xfId="1" applyNumberFormat="1" applyFont="1" applyFill="1" applyBorder="1" applyAlignment="1">
      <alignment horizontal="center" vertical="center" wrapText="1"/>
    </xf>
    <xf numFmtId="1" fontId="0" fillId="3" borderId="19" xfId="1" applyNumberFormat="1" applyFont="1" applyFill="1" applyBorder="1" applyAlignment="1">
      <alignment horizontal="center" vertical="center" wrapText="1"/>
    </xf>
    <xf numFmtId="1" fontId="0" fillId="3" borderId="12" xfId="1" applyNumberFormat="1" applyFont="1" applyFill="1" applyBorder="1" applyAlignment="1">
      <alignment horizontal="right" vertical="center" wrapText="1"/>
    </xf>
    <xf numFmtId="0" fontId="13" fillId="3" borderId="10" xfId="0" applyFont="1" applyFill="1" applyBorder="1" applyAlignment="1">
      <alignment wrapText="1"/>
    </xf>
    <xf numFmtId="0" fontId="14" fillId="3" borderId="10" xfId="0" applyFont="1" applyFill="1" applyBorder="1" applyAlignment="1">
      <alignment wrapText="1"/>
    </xf>
    <xf numFmtId="10" fontId="14" fillId="3" borderId="10" xfId="1" applyNumberFormat="1" applyFont="1" applyFill="1" applyBorder="1" applyAlignment="1">
      <alignment horizontal="left" wrapText="1"/>
    </xf>
    <xf numFmtId="0" fontId="14" fillId="3" borderId="23" xfId="0" applyFont="1" applyFill="1" applyBorder="1" applyAlignment="1">
      <alignment wrapText="1"/>
    </xf>
    <xf numFmtId="1" fontId="0" fillId="3" borderId="12" xfId="1" applyNumberFormat="1" applyFont="1" applyFill="1" applyBorder="1" applyAlignment="1">
      <alignment horizontal="right" vertical="top" wrapText="1"/>
    </xf>
    <xf numFmtId="0" fontId="13" fillId="3" borderId="25" xfId="0" applyFont="1" applyFill="1" applyBorder="1" applyAlignment="1">
      <alignment vertical="top" wrapText="1"/>
    </xf>
    <xf numFmtId="0" fontId="14" fillId="3" borderId="25" xfId="0" applyFont="1" applyFill="1" applyBorder="1" applyAlignment="1">
      <alignment vertical="top" wrapText="1"/>
    </xf>
    <xf numFmtId="10" fontId="14" fillId="3" borderId="25" xfId="1" applyNumberFormat="1" applyFont="1" applyFill="1" applyBorder="1" applyAlignment="1">
      <alignment horizontal="left" vertical="top" wrapText="1"/>
    </xf>
    <xf numFmtId="0" fontId="14" fillId="3" borderId="26" xfId="0" applyFont="1" applyFill="1" applyBorder="1" applyAlignment="1">
      <alignment vertical="top" wrapText="1"/>
    </xf>
    <xf numFmtId="0" fontId="14" fillId="3" borderId="27" xfId="0" applyFont="1" applyFill="1" applyBorder="1" applyAlignment="1">
      <alignment vertical="top" wrapText="1"/>
    </xf>
    <xf numFmtId="10" fontId="0" fillId="3" borderId="0" xfId="1" applyNumberFormat="1" applyFont="1" applyFill="1"/>
    <xf numFmtId="0" fontId="2" fillId="3" borderId="1" xfId="0" applyFont="1" applyFill="1" applyBorder="1"/>
    <xf numFmtId="0" fontId="8" fillId="3" borderId="0" xfId="0" applyFont="1" applyFill="1" applyAlignment="1">
      <alignment horizontal="left"/>
    </xf>
    <xf numFmtId="173" fontId="2" fillId="3" borderId="9" xfId="1" applyNumberFormat="1" applyFont="1" applyFill="1" applyBorder="1" applyAlignment="1">
      <alignment horizontal="right" vertical="center" wrapText="1"/>
    </xf>
    <xf numFmtId="173" fontId="2" fillId="3" borderId="15" xfId="1" applyNumberFormat="1" applyFont="1" applyFill="1" applyBorder="1" applyAlignment="1">
      <alignment horizontal="right" vertical="center" wrapText="1"/>
    </xf>
    <xf numFmtId="0" fontId="2" fillId="3" borderId="28" xfId="0" applyFont="1" applyFill="1" applyBorder="1"/>
    <xf numFmtId="0" fontId="16" fillId="3" borderId="0" xfId="0" applyFont="1" applyFill="1"/>
    <xf numFmtId="10" fontId="2" fillId="3" borderId="0" xfId="1" applyNumberFormat="1" applyFont="1" applyFill="1"/>
    <xf numFmtId="0" fontId="16" fillId="3" borderId="1" xfId="0" applyFont="1" applyFill="1" applyBorder="1" applyAlignment="1">
      <alignment horizontal="left" indent="1"/>
    </xf>
    <xf numFmtId="0" fontId="17" fillId="3" borderId="0" xfId="0" applyFont="1" applyFill="1" applyAlignment="1">
      <alignment horizontal="left"/>
    </xf>
    <xf numFmtId="0" fontId="7" fillId="3" borderId="29" xfId="0" applyFont="1" applyFill="1" applyBorder="1"/>
    <xf numFmtId="10" fontId="7" fillId="3" borderId="0" xfId="1" applyNumberFormat="1" applyFont="1" applyFill="1"/>
    <xf numFmtId="166" fontId="0" fillId="3" borderId="22" xfId="1" applyNumberFormat="1" applyFont="1" applyFill="1" applyBorder="1" applyAlignment="1">
      <alignment horizontal="right" vertical="center" wrapText="1"/>
    </xf>
    <xf numFmtId="166" fontId="0" fillId="3" borderId="9" xfId="1" applyNumberFormat="1" applyFont="1" applyFill="1" applyBorder="1" applyAlignment="1">
      <alignment horizontal="right" vertical="center" wrapText="1"/>
    </xf>
    <xf numFmtId="166" fontId="0" fillId="3" borderId="19" xfId="1" applyNumberFormat="1" applyFont="1" applyFill="1" applyBorder="1" applyAlignment="1">
      <alignment horizontal="right" vertical="center" wrapText="1"/>
    </xf>
    <xf numFmtId="167" fontId="0" fillId="3" borderId="9" xfId="0" applyNumberFormat="1" applyFill="1" applyBorder="1" applyAlignment="1">
      <alignment vertical="center" wrapText="1"/>
    </xf>
    <xf numFmtId="2" fontId="0" fillId="3" borderId="15" xfId="1" applyNumberFormat="1" applyFont="1" applyFill="1" applyBorder="1" applyAlignment="1">
      <alignment horizontal="right" vertical="center" wrapText="1"/>
    </xf>
    <xf numFmtId="164" fontId="0" fillId="3" borderId="11" xfId="1" applyNumberFormat="1" applyFont="1" applyFill="1" applyBorder="1" applyAlignment="1">
      <alignment vertical="center"/>
    </xf>
    <xf numFmtId="0" fontId="2" fillId="3" borderId="21" xfId="0" applyFont="1" applyFill="1" applyBorder="1"/>
    <xf numFmtId="167" fontId="0" fillId="3" borderId="30" xfId="1" applyNumberFormat="1" applyFont="1" applyFill="1" applyBorder="1" applyAlignment="1">
      <alignment horizontal="right" vertical="center" wrapText="1"/>
    </xf>
    <xf numFmtId="167" fontId="0" fillId="3" borderId="13" xfId="1" applyNumberFormat="1" applyFont="1" applyFill="1" applyBorder="1" applyAlignment="1">
      <alignment horizontal="right" vertical="center" wrapText="1"/>
    </xf>
    <xf numFmtId="10" fontId="11" fillId="3" borderId="13" xfId="1" applyNumberFormat="1" applyFont="1" applyFill="1" applyBorder="1" applyAlignment="1">
      <alignment horizontal="right" vertical="center" wrapText="1"/>
    </xf>
    <xf numFmtId="10" fontId="0" fillId="3" borderId="13" xfId="1" applyNumberFormat="1" applyFont="1" applyFill="1" applyBorder="1" applyAlignment="1">
      <alignment horizontal="right" vertical="center" wrapText="1"/>
    </xf>
    <xf numFmtId="172" fontId="0" fillId="3" borderId="13" xfId="0" applyNumberFormat="1" applyFill="1" applyBorder="1" applyAlignment="1">
      <alignment vertical="center" wrapText="1"/>
    </xf>
    <xf numFmtId="0" fontId="0" fillId="3" borderId="13" xfId="0" applyFill="1" applyBorder="1" applyAlignment="1">
      <alignment vertical="center" wrapText="1"/>
    </xf>
    <xf numFmtId="0" fontId="11" fillId="3" borderId="13" xfId="0" applyFont="1" applyFill="1" applyBorder="1" applyAlignment="1">
      <alignment vertical="center" wrapText="1"/>
    </xf>
    <xf numFmtId="0" fontId="18" fillId="3" borderId="31" xfId="0" applyFont="1" applyFill="1" applyBorder="1" applyAlignment="1">
      <alignment vertical="center" wrapText="1"/>
    </xf>
    <xf numFmtId="167" fontId="0" fillId="3" borderId="26" xfId="1" applyNumberFormat="1" applyFont="1" applyFill="1" applyBorder="1" applyAlignment="1">
      <alignment horizontal="right" vertical="center" wrapText="1"/>
    </xf>
    <xf numFmtId="167" fontId="0" fillId="3" borderId="32" xfId="1" applyNumberFormat="1" applyFont="1" applyFill="1" applyBorder="1" applyAlignment="1">
      <alignment horizontal="right" vertical="center" wrapText="1"/>
    </xf>
    <xf numFmtId="1" fontId="0" fillId="3" borderId="32" xfId="1" applyNumberFormat="1" applyFont="1" applyFill="1" applyBorder="1" applyAlignment="1">
      <alignment horizontal="right" vertical="center" wrapText="1"/>
    </xf>
    <xf numFmtId="10" fontId="11" fillId="3" borderId="32" xfId="1" applyNumberFormat="1" applyFont="1" applyFill="1" applyBorder="1" applyAlignment="1">
      <alignment horizontal="right" vertical="center" wrapText="1"/>
    </xf>
    <xf numFmtId="10" fontId="0" fillId="3" borderId="32" xfId="1" applyNumberFormat="1" applyFont="1" applyFill="1" applyBorder="1" applyAlignment="1">
      <alignment horizontal="right" vertical="center" wrapText="1"/>
    </xf>
    <xf numFmtId="172" fontId="0" fillId="3" borderId="32" xfId="0" applyNumberFormat="1" applyFill="1" applyBorder="1" applyAlignment="1">
      <alignment vertical="center" wrapText="1"/>
    </xf>
    <xf numFmtId="0" fontId="0" fillId="3" borderId="32" xfId="0" applyFill="1" applyBorder="1" applyAlignment="1">
      <alignment vertical="center" wrapText="1"/>
    </xf>
    <xf numFmtId="0" fontId="11" fillId="3" borderId="32" xfId="0" applyFont="1" applyFill="1" applyBorder="1" applyAlignment="1">
      <alignment vertical="center" wrapText="1"/>
    </xf>
    <xf numFmtId="0" fontId="18" fillId="3" borderId="33" xfId="0" applyFont="1" applyFill="1" applyBorder="1" applyAlignment="1">
      <alignment vertical="center" wrapText="1"/>
    </xf>
    <xf numFmtId="9" fontId="0" fillId="3" borderId="9" xfId="1" applyFont="1" applyFill="1" applyBorder="1" applyAlignment="1">
      <alignment vertical="center" wrapText="1"/>
    </xf>
    <xf numFmtId="0" fontId="0" fillId="3" borderId="20" xfId="0" applyFill="1" applyBorder="1" applyAlignment="1">
      <alignment vertical="center" wrapText="1"/>
    </xf>
    <xf numFmtId="10" fontId="0" fillId="3" borderId="0" xfId="1" applyNumberFormat="1" applyFont="1" applyFill="1" applyBorder="1"/>
    <xf numFmtId="0" fontId="0" fillId="3" borderId="20" xfId="0" applyFill="1" applyBorder="1" applyAlignment="1">
      <alignment horizontal="right" vertical="center" wrapText="1"/>
    </xf>
    <xf numFmtId="2" fontId="0" fillId="3" borderId="11" xfId="1" applyNumberFormat="1" applyFont="1" applyFill="1" applyBorder="1" applyAlignment="1">
      <alignment horizontal="right" vertical="center" wrapText="1"/>
    </xf>
    <xf numFmtId="0" fontId="7" fillId="3" borderId="34" xfId="0" applyFont="1" applyFill="1" applyBorder="1"/>
    <xf numFmtId="10" fontId="7" fillId="3" borderId="17" xfId="1" applyNumberFormat="1" applyFont="1" applyFill="1" applyBorder="1"/>
    <xf numFmtId="164" fontId="0" fillId="3" borderId="9" xfId="1" applyNumberFormat="1" applyFont="1" applyFill="1" applyBorder="1" applyAlignment="1">
      <alignment vertical="center"/>
    </xf>
    <xf numFmtId="2" fontId="0" fillId="3" borderId="30" xfId="1" applyNumberFormat="1" applyFont="1" applyFill="1" applyBorder="1" applyAlignment="1">
      <alignment horizontal="right" vertical="center" wrapText="1"/>
    </xf>
    <xf numFmtId="2" fontId="0" fillId="3" borderId="13" xfId="1" applyNumberFormat="1" applyFont="1" applyFill="1" applyBorder="1" applyAlignment="1">
      <alignment horizontal="right" vertical="center" wrapText="1"/>
    </xf>
    <xf numFmtId="2" fontId="0" fillId="3" borderId="26" xfId="1" applyNumberFormat="1" applyFont="1" applyFill="1" applyBorder="1" applyAlignment="1">
      <alignment horizontal="right" vertical="center" wrapText="1"/>
    </xf>
    <xf numFmtId="2" fontId="0" fillId="3" borderId="32" xfId="1" applyNumberFormat="1" applyFont="1" applyFill="1" applyBorder="1" applyAlignment="1">
      <alignment horizontal="right" vertical="center" wrapText="1"/>
    </xf>
    <xf numFmtId="164" fontId="0" fillId="3" borderId="9" xfId="1" applyNumberFormat="1" applyFont="1" applyFill="1" applyBorder="1" applyAlignment="1">
      <alignment horizontal="right" vertical="center" wrapText="1" indent="1"/>
    </xf>
    <xf numFmtId="174" fontId="0" fillId="3" borderId="9" xfId="1" applyNumberFormat="1" applyFont="1" applyFill="1" applyBorder="1" applyAlignment="1">
      <alignment horizontal="right" vertical="center" wrapText="1"/>
    </xf>
    <xf numFmtId="1" fontId="0" fillId="3" borderId="0" xfId="1" applyNumberFormat="1" applyFont="1" applyFill="1" applyBorder="1" applyAlignment="1">
      <alignment horizontal="right" vertical="center" wrapText="1"/>
    </xf>
    <xf numFmtId="0" fontId="0" fillId="3" borderId="16" xfId="0" applyFill="1" applyBorder="1"/>
    <xf numFmtId="0" fontId="11" fillId="3" borderId="1" xfId="0" applyFont="1" applyFill="1" applyBorder="1" applyAlignment="1">
      <alignment horizontal="left" indent="1"/>
    </xf>
    <xf numFmtId="172" fontId="0" fillId="3" borderId="9" xfId="1" applyNumberFormat="1" applyFont="1" applyFill="1" applyBorder="1" applyAlignment="1">
      <alignment horizontal="right" vertical="center" wrapText="1"/>
    </xf>
    <xf numFmtId="164" fontId="0" fillId="3" borderId="9" xfId="1" quotePrefix="1" applyNumberFormat="1" applyFont="1" applyFill="1" applyBorder="1" applyAlignment="1">
      <alignment horizontal="right" vertical="center" wrapText="1" indent="1"/>
    </xf>
    <xf numFmtId="0" fontId="3" fillId="3" borderId="0" xfId="0" applyFont="1" applyFill="1" applyAlignment="1">
      <alignment horizontal="left" vertical="top" wrapText="1"/>
    </xf>
    <xf numFmtId="10" fontId="0" fillId="3" borderId="35" xfId="1" applyNumberFormat="1" applyFont="1" applyFill="1" applyBorder="1" applyAlignment="1">
      <alignment horizontal="right" vertical="top" wrapText="1"/>
    </xf>
    <xf numFmtId="10" fontId="0" fillId="3" borderId="0" xfId="1" applyNumberFormat="1" applyFont="1" applyFill="1" applyAlignment="1">
      <alignment horizontal="right" vertical="top" wrapText="1"/>
    </xf>
    <xf numFmtId="10" fontId="11" fillId="3" borderId="0" xfId="1" applyNumberFormat="1" applyFont="1" applyFill="1" applyAlignment="1">
      <alignment horizontal="right" vertical="top" wrapText="1"/>
    </xf>
    <xf numFmtId="0" fontId="0" fillId="3" borderId="0" xfId="0" applyFill="1" applyAlignment="1">
      <alignment vertical="top" wrapText="1"/>
    </xf>
    <xf numFmtId="0" fontId="11" fillId="3" borderId="0" xfId="0" applyFont="1" applyFill="1" applyAlignment="1">
      <alignment vertical="top" wrapText="1"/>
    </xf>
    <xf numFmtId="10" fontId="0" fillId="3" borderId="0" xfId="1" applyNumberFormat="1" applyFont="1" applyFill="1" applyAlignment="1">
      <alignment horizontal="right"/>
    </xf>
    <xf numFmtId="10" fontId="11" fillId="3" borderId="0" xfId="1" applyNumberFormat="1" applyFont="1" applyFill="1" applyAlignment="1">
      <alignment horizontal="right"/>
    </xf>
    <xf numFmtId="0" fontId="0" fillId="3" borderId="1" xfId="0" applyFill="1" applyBorder="1" applyAlignment="1">
      <alignment horizontal="left" indent="2"/>
    </xf>
    <xf numFmtId="0" fontId="0" fillId="3" borderId="0" xfId="0" applyFill="1" applyAlignment="1">
      <alignment horizontal="left" indent="2"/>
    </xf>
    <xf numFmtId="0" fontId="3" fillId="3" borderId="0" xfId="0" applyFont="1" applyFill="1" applyAlignment="1">
      <alignment horizontal="left" indent="2"/>
    </xf>
    <xf numFmtId="0" fontId="0" fillId="4" borderId="0" xfId="0" applyFill="1" applyAlignment="1">
      <alignment horizontal="right"/>
    </xf>
    <xf numFmtId="0" fontId="11" fillId="4" borderId="0" xfId="0" applyFont="1" applyFill="1" applyAlignment="1">
      <alignment horizontal="right"/>
    </xf>
    <xf numFmtId="0" fontId="0" fillId="4" borderId="0" xfId="0" applyFill="1"/>
    <xf numFmtId="164" fontId="2" fillId="0" borderId="0" xfId="1" applyNumberFormat="1" applyFont="1"/>
    <xf numFmtId="0" fontId="0" fillId="0" borderId="0" xfId="0" applyAlignment="1">
      <alignment horizontal="right" indent="1"/>
    </xf>
    <xf numFmtId="0" fontId="0" fillId="0" borderId="0" xfId="0" applyAlignment="1">
      <alignment horizontal="right" vertical="top" indent="1"/>
    </xf>
    <xf numFmtId="0" fontId="3" fillId="0" borderId="1" xfId="0" applyFont="1" applyBorder="1"/>
    <xf numFmtId="1" fontId="3" fillId="0" borderId="1" xfId="0" applyNumberFormat="1" applyFont="1" applyBorder="1" applyAlignment="1">
      <alignment horizontal="left" indent="1"/>
    </xf>
    <xf numFmtId="0" fontId="0" fillId="0" borderId="1" xfId="0" applyBorder="1" applyAlignment="1">
      <alignment horizontal="right"/>
    </xf>
    <xf numFmtId="0" fontId="0" fillId="0" borderId="2" xfId="0" applyBorder="1" applyAlignment="1">
      <alignment vertical="top" wrapText="1"/>
    </xf>
    <xf numFmtId="175" fontId="0" fillId="0" borderId="2" xfId="1" applyNumberFormat="1" applyFont="1" applyFill="1" applyBorder="1"/>
    <xf numFmtId="10" fontId="0" fillId="0" borderId="1" xfId="0" applyNumberFormat="1" applyBorder="1"/>
    <xf numFmtId="10" fontId="0" fillId="0" borderId="2" xfId="0" applyNumberFormat="1" applyBorder="1" applyAlignment="1">
      <alignment horizontal="right"/>
    </xf>
    <xf numFmtId="169" fontId="0" fillId="0" borderId="1" xfId="0" applyNumberFormat="1" applyBorder="1" applyAlignment="1">
      <alignment horizontal="right"/>
    </xf>
    <xf numFmtId="1" fontId="0" fillId="0" borderId="2" xfId="1" applyNumberFormat="1" applyFont="1" applyBorder="1" applyAlignment="1">
      <alignment horizontal="right"/>
    </xf>
    <xf numFmtId="0" fontId="0" fillId="0" borderId="5" xfId="0" applyBorder="1"/>
    <xf numFmtId="0" fontId="0" fillId="0" borderId="3" xfId="0" applyBorder="1"/>
    <xf numFmtId="0" fontId="0" fillId="0" borderId="1" xfId="0" applyBorder="1" applyAlignment="1">
      <alignment vertical="top" wrapText="1"/>
    </xf>
    <xf numFmtId="171" fontId="0" fillId="0" borderId="1" xfId="1" applyNumberFormat="1" applyFont="1" applyFill="1" applyBorder="1"/>
    <xf numFmtId="175" fontId="0" fillId="0" borderId="1" xfId="1" applyNumberFormat="1" applyFont="1" applyFill="1" applyBorder="1"/>
    <xf numFmtId="10" fontId="0" fillId="0" borderId="1" xfId="0" applyNumberFormat="1" applyBorder="1" applyAlignment="1">
      <alignment horizontal="right"/>
    </xf>
    <xf numFmtId="10" fontId="0" fillId="0" borderId="3" xfId="1" applyNumberFormat="1" applyFont="1" applyBorder="1" applyAlignment="1">
      <alignment horizontal="right"/>
    </xf>
    <xf numFmtId="0" fontId="0" fillId="0" borderId="4" xfId="0" applyBorder="1" applyAlignment="1">
      <alignment wrapText="1"/>
    </xf>
    <xf numFmtId="9" fontId="3" fillId="0" borderId="0" xfId="0" applyNumberFormat="1" applyFont="1" applyAlignment="1">
      <alignment horizontal="center"/>
    </xf>
    <xf numFmtId="1" fontId="0" fillId="0" borderId="0" xfId="0" applyNumberFormat="1" applyAlignment="1">
      <alignment horizontal="left" indent="1"/>
    </xf>
    <xf numFmtId="164" fontId="0" fillId="0" borderId="0" xfId="1" applyNumberFormat="1" applyFont="1" applyBorder="1" applyAlignment="1">
      <alignment horizontal="left" indent="1"/>
    </xf>
    <xf numFmtId="1" fontId="3" fillId="0" borderId="0" xfId="0" applyNumberFormat="1" applyFont="1" applyAlignment="1">
      <alignment horizontal="left" indent="1"/>
    </xf>
    <xf numFmtId="0" fontId="2" fillId="3" borderId="0" xfId="0" applyFont="1" applyFill="1" applyAlignment="1">
      <alignment vertical="top"/>
    </xf>
    <xf numFmtId="164" fontId="2" fillId="0" borderId="0" xfId="1" applyNumberFormat="1" applyFont="1" applyBorder="1"/>
    <xf numFmtId="0" fontId="3" fillId="0" borderId="0" xfId="0" applyFont="1" applyAlignment="1">
      <alignment horizontal="right" indent="2"/>
    </xf>
    <xf numFmtId="0" fontId="4" fillId="0" borderId="1" xfId="0" applyFont="1" applyBorder="1" applyAlignment="1">
      <alignment horizontal="left" vertical="center" wrapText="1" indent="1"/>
    </xf>
    <xf numFmtId="1" fontId="3" fillId="0" borderId="0" xfId="0" applyNumberFormat="1" applyFont="1" applyAlignment="1">
      <alignment horizontal="right"/>
    </xf>
    <xf numFmtId="175" fontId="0" fillId="0" borderId="2" xfId="1" applyNumberFormat="1" applyFont="1" applyFill="1" applyBorder="1" applyAlignment="1">
      <alignment horizontal="right"/>
    </xf>
    <xf numFmtId="175" fontId="0" fillId="0" borderId="1" xfId="1" applyNumberFormat="1" applyFont="1" applyFill="1" applyBorder="1" applyAlignment="1">
      <alignment horizontal="right"/>
    </xf>
    <xf numFmtId="176" fontId="0" fillId="0" borderId="0" xfId="0" applyNumberFormat="1" applyAlignment="1">
      <alignment horizontal="right"/>
    </xf>
    <xf numFmtId="164" fontId="5" fillId="0" borderId="0" xfId="1" applyNumberFormat="1" applyFont="1" applyBorder="1" applyAlignment="1">
      <alignment horizontal="center" vertical="center" wrapText="1"/>
    </xf>
    <xf numFmtId="0" fontId="0" fillId="0" borderId="0" xfId="0" applyAlignment="1">
      <alignment horizontal="center"/>
    </xf>
    <xf numFmtId="0" fontId="4" fillId="0" borderId="2" xfId="0" applyFont="1" applyBorder="1" applyAlignment="1">
      <alignment horizontal="right" vertical="center" wrapText="1"/>
    </xf>
    <xf numFmtId="0" fontId="3" fillId="0" borderId="1" xfId="0" applyFont="1" applyBorder="1" applyAlignment="1">
      <alignment horizontal="right"/>
    </xf>
    <xf numFmtId="170" fontId="3" fillId="0" borderId="1" xfId="0" applyNumberFormat="1" applyFont="1" applyBorder="1" applyAlignment="1">
      <alignment horizontal="right" indent="1"/>
    </xf>
    <xf numFmtId="167" fontId="0" fillId="0" borderId="2" xfId="0" applyNumberFormat="1" applyBorder="1"/>
    <xf numFmtId="166" fontId="0" fillId="0" borderId="2" xfId="0" applyNumberFormat="1" applyBorder="1"/>
    <xf numFmtId="164" fontId="2" fillId="0" borderId="1" xfId="1" applyNumberFormat="1" applyFont="1" applyBorder="1"/>
    <xf numFmtId="0" fontId="5" fillId="0" borderId="5" xfId="0" applyFont="1" applyBorder="1" applyAlignment="1">
      <alignmen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0" fillId="0" borderId="2" xfId="0" applyBorder="1" applyAlignment="1">
      <alignment vertical="top"/>
    </xf>
    <xf numFmtId="0" fontId="19" fillId="0" borderId="0" xfId="0" applyFont="1"/>
    <xf numFmtId="0" fontId="20" fillId="0" borderId="0" xfId="3"/>
    <xf numFmtId="14" fontId="0" fillId="0" borderId="0" xfId="0" applyNumberFormat="1"/>
    <xf numFmtId="0" fontId="0" fillId="0" borderId="0" xfId="0" applyAlignment="1">
      <alignment horizontal="left"/>
    </xf>
    <xf numFmtId="0" fontId="0" fillId="0" borderId="0" xfId="0" applyAlignment="1">
      <alignment horizontal="left" indent="2"/>
    </xf>
    <xf numFmtId="0" fontId="0" fillId="0" borderId="0" xfId="0" applyAlignment="1">
      <alignment horizontal="left" indent="3"/>
    </xf>
    <xf numFmtId="0" fontId="0" fillId="0" borderId="0" xfId="0" applyAlignment="1">
      <alignment horizontal="left" indent="4"/>
    </xf>
    <xf numFmtId="0" fontId="0" fillId="0" borderId="0" xfId="0" quotePrefix="1"/>
    <xf numFmtId="0" fontId="0" fillId="0" borderId="36" xfId="0" applyBorder="1" applyAlignment="1">
      <alignment horizontal="center"/>
    </xf>
    <xf numFmtId="0" fontId="2" fillId="0" borderId="0" xfId="0" applyFont="1" applyAlignment="1">
      <alignment horizontal="left"/>
    </xf>
    <xf numFmtId="0" fontId="0" fillId="0" borderId="0" xfId="0" quotePrefix="1" applyAlignment="1">
      <alignment horizontal="left" indent="1"/>
    </xf>
    <xf numFmtId="9" fontId="0" fillId="0" borderId="0" xfId="0" applyNumberFormat="1"/>
    <xf numFmtId="9" fontId="0" fillId="0" borderId="36" xfId="0" applyNumberFormat="1" applyBorder="1" applyAlignment="1">
      <alignment horizontal="center"/>
    </xf>
    <xf numFmtId="178" fontId="0" fillId="0" borderId="0" xfId="0" applyNumberFormat="1" applyAlignment="1">
      <alignment horizontal="left"/>
    </xf>
    <xf numFmtId="177" fontId="0" fillId="0" borderId="0" xfId="1" applyNumberFormat="1" applyFont="1" applyAlignment="1">
      <alignment horizontal="left"/>
    </xf>
    <xf numFmtId="0" fontId="0" fillId="0" borderId="0" xfId="0" quotePrefix="1" applyAlignment="1">
      <alignment horizontal="left"/>
    </xf>
    <xf numFmtId="0" fontId="11" fillId="0" borderId="0" xfId="0" applyFont="1"/>
    <xf numFmtId="0" fontId="11" fillId="0" borderId="0" xfId="0" applyFont="1" applyAlignment="1">
      <alignment horizontal="left" indent="1"/>
    </xf>
    <xf numFmtId="0" fontId="11" fillId="0" borderId="0" xfId="0" applyFont="1" applyAlignment="1">
      <alignment horizontal="left" indent="2"/>
    </xf>
    <xf numFmtId="9" fontId="0" fillId="0" borderId="0" xfId="0" applyNumberFormat="1" applyAlignment="1">
      <alignment horizontal="center"/>
    </xf>
    <xf numFmtId="1" fontId="0" fillId="0" borderId="8" xfId="0" applyNumberFormat="1" applyBorder="1" applyAlignment="1">
      <alignment horizontal="right" vertical="top" wrapText="1"/>
    </xf>
    <xf numFmtId="1" fontId="0" fillId="0" borderId="6" xfId="0" applyNumberFormat="1" applyBorder="1" applyAlignment="1">
      <alignment horizontal="right" vertical="top" wrapText="1"/>
    </xf>
    <xf numFmtId="0" fontId="0" fillId="0" borderId="5" xfId="0" applyBorder="1" applyAlignment="1">
      <alignment vertical="top" wrapText="1"/>
    </xf>
    <xf numFmtId="0" fontId="0" fillId="0" borderId="3" xfId="0" applyBorder="1" applyAlignment="1">
      <alignment vertical="top" wrapText="1"/>
    </xf>
    <xf numFmtId="1" fontId="0" fillId="3" borderId="24" xfId="1" applyNumberFormat="1" applyFont="1" applyFill="1" applyBorder="1" applyAlignment="1">
      <alignment horizontal="left" vertical="center" wrapText="1" indent="1"/>
    </xf>
    <xf numFmtId="1" fontId="0" fillId="3" borderId="11" xfId="1" applyNumberFormat="1" applyFont="1" applyFill="1" applyBorder="1" applyAlignment="1">
      <alignment horizontal="left" vertical="center" wrapText="1" indent="1"/>
    </xf>
    <xf numFmtId="1" fontId="0" fillId="3" borderId="16" xfId="1" applyNumberFormat="1" applyFont="1" applyFill="1" applyBorder="1" applyAlignment="1">
      <alignment horizontal="left" vertical="center" wrapText="1" indent="1"/>
    </xf>
    <xf numFmtId="1" fontId="0" fillId="3" borderId="15" xfId="1" applyNumberFormat="1" applyFont="1" applyFill="1" applyBorder="1" applyAlignment="1">
      <alignment horizontal="left" vertical="center" wrapText="1" indent="1"/>
    </xf>
    <xf numFmtId="0" fontId="14" fillId="3" borderId="25" xfId="0" applyFont="1" applyFill="1" applyBorder="1" applyAlignment="1">
      <alignment vertical="top" wrapText="1"/>
    </xf>
    <xf numFmtId="0" fontId="14" fillId="3" borderId="10" xfId="0" applyFont="1" applyFill="1" applyBorder="1" applyAlignment="1">
      <alignment vertical="top" wrapText="1"/>
    </xf>
  </cellXfs>
  <cellStyles count="4">
    <cellStyle name="Link" xfId="3" builtinId="8"/>
    <cellStyle name="Prozent" xfId="1" builtinId="5"/>
    <cellStyle name="Standard" xfId="0" builtinId="0"/>
    <cellStyle name="Standard 2 2" xfId="2" xr:uid="{6E7EF82A-4453-4298-B145-1057D100E6ED}"/>
  </cellStyles>
  <dxfs count="73">
    <dxf>
      <fill>
        <patternFill>
          <bgColor rgb="FFCCFF99"/>
        </patternFill>
      </fill>
    </dxf>
    <dxf>
      <numFmt numFmtId="180" formatCode="0\ \ \ \ \ \ \ \ "/>
    </dxf>
    <dxf>
      <numFmt numFmtId="179" formatCode="#0.0???"/>
    </dxf>
    <dxf>
      <numFmt numFmtId="179" formatCode="#0.0???"/>
    </dxf>
    <dxf>
      <numFmt numFmtId="180" formatCode="0\ \ \ \ \ \ \ \ "/>
    </dxf>
    <dxf>
      <numFmt numFmtId="180" formatCode="0\ \ \ \ \ \ \ \ "/>
    </dxf>
    <dxf>
      <numFmt numFmtId="179" formatCode="#0.0???"/>
    </dxf>
    <dxf>
      <numFmt numFmtId="180" formatCode="0\ \ \ \ \ \ \ \ "/>
    </dxf>
    <dxf>
      <numFmt numFmtId="179" formatCode="#0.0???"/>
    </dxf>
    <dxf>
      <numFmt numFmtId="179" formatCode="#0.0???"/>
    </dxf>
    <dxf>
      <numFmt numFmtId="180" formatCode="0\ \ \ \ \ \ \ \ "/>
    </dxf>
    <dxf>
      <numFmt numFmtId="176" formatCode="0.0\ %\ \ "/>
    </dxf>
    <dxf>
      <numFmt numFmtId="176" formatCode="0.0\ %\ \ "/>
    </dxf>
    <dxf>
      <numFmt numFmtId="180" formatCode="0\ \ \ \ \ \ \ \ "/>
    </dxf>
    <dxf>
      <numFmt numFmtId="179" formatCode="#0.0???"/>
    </dxf>
    <dxf>
      <numFmt numFmtId="179" formatCode="#0.0???"/>
    </dxf>
    <dxf>
      <numFmt numFmtId="180" formatCode="0\ \ \ \ \ \ \ \ "/>
    </dxf>
    <dxf>
      <numFmt numFmtId="180" formatCode="0\ \ \ \ \ \ \ \ "/>
    </dxf>
    <dxf>
      <numFmt numFmtId="179" formatCode="#0.0???"/>
    </dxf>
    <dxf>
      <numFmt numFmtId="179" formatCode="#0.0???"/>
    </dxf>
    <dxf>
      <numFmt numFmtId="180" formatCode="0\ \ \ \ \ \ \ \ "/>
    </dxf>
    <dxf>
      <numFmt numFmtId="180" formatCode="0\ \ \ \ \ \ \ \ "/>
    </dxf>
    <dxf>
      <numFmt numFmtId="179" formatCode="#0.0???"/>
    </dxf>
    <dxf>
      <numFmt numFmtId="176" formatCode="0.0\ %\ \ "/>
    </dxf>
    <dxf>
      <numFmt numFmtId="176" formatCode="0.0\ %\ \ "/>
    </dxf>
    <dxf>
      <numFmt numFmtId="179" formatCode="#0.0???"/>
    </dxf>
    <dxf>
      <numFmt numFmtId="180" formatCode="0\ \ \ \ \ \ \ \ "/>
    </dxf>
    <dxf>
      <numFmt numFmtId="180" formatCode="0\ \ \ \ \ \ \ \ "/>
    </dxf>
    <dxf>
      <numFmt numFmtId="179" formatCode="#0.0???"/>
    </dxf>
    <dxf>
      <numFmt numFmtId="179" formatCode="#0.0???"/>
    </dxf>
    <dxf>
      <numFmt numFmtId="180" formatCode="0\ \ \ \ \ \ \ \ "/>
    </dxf>
    <dxf>
      <numFmt numFmtId="179" formatCode="#0.0???"/>
    </dxf>
    <dxf>
      <numFmt numFmtId="180" formatCode="0\ \ \ \ \ \ \ \ "/>
    </dxf>
    <dxf>
      <numFmt numFmtId="180" formatCode="0\ \ \ \ \ \ \ \ "/>
    </dxf>
    <dxf>
      <numFmt numFmtId="179" formatCode="#0.0???"/>
    </dxf>
    <dxf>
      <numFmt numFmtId="176" formatCode="0.0\ %\ \ "/>
    </dxf>
    <dxf>
      <numFmt numFmtId="176" formatCode="0.0\ %\ \ "/>
    </dxf>
    <dxf>
      <numFmt numFmtId="180" formatCode="0\ \ \ \ \ \ \ \ "/>
    </dxf>
    <dxf>
      <numFmt numFmtId="179" formatCode="#0.0???"/>
    </dxf>
    <dxf>
      <numFmt numFmtId="179" formatCode="#0.0???"/>
    </dxf>
    <dxf>
      <numFmt numFmtId="180" formatCode="0\ \ \ \ \ \ \ \ "/>
    </dxf>
    <dxf>
      <numFmt numFmtId="179" formatCode="#0.0???"/>
    </dxf>
    <dxf>
      <numFmt numFmtId="180" formatCode="0\ \ \ \ \ \ \ \ "/>
    </dxf>
    <dxf>
      <numFmt numFmtId="179" formatCode="#0.0???"/>
    </dxf>
    <dxf>
      <numFmt numFmtId="180" formatCode="0\ \ \ \ \ \ \ \ "/>
    </dxf>
    <dxf>
      <numFmt numFmtId="180" formatCode="0\ \ \ \ \ \ \ \ "/>
    </dxf>
    <dxf>
      <numFmt numFmtId="179" formatCode="#0.0???"/>
    </dxf>
    <dxf>
      <numFmt numFmtId="176" formatCode="0.0\ %\ \ "/>
    </dxf>
    <dxf>
      <numFmt numFmtId="176" formatCode="0.0\ %\ \ "/>
    </dxf>
    <dxf>
      <numFmt numFmtId="180" formatCode="0\ \ \ \ \ \ \ \ "/>
    </dxf>
    <dxf>
      <numFmt numFmtId="179" formatCode="#0.0???"/>
    </dxf>
    <dxf>
      <numFmt numFmtId="180" formatCode="0\ \ \ \ \ \ \ \ "/>
    </dxf>
    <dxf>
      <numFmt numFmtId="179" formatCode="#0.0???"/>
    </dxf>
    <dxf>
      <numFmt numFmtId="179" formatCode="#0.0???"/>
    </dxf>
    <dxf>
      <numFmt numFmtId="180" formatCode="0\ \ \ \ \ \ \ \ "/>
    </dxf>
    <dxf>
      <numFmt numFmtId="179" formatCode="#0.0???"/>
    </dxf>
    <dxf>
      <numFmt numFmtId="180" formatCode="0\ \ \ \ \ \ \ \ "/>
    </dxf>
    <dxf>
      <numFmt numFmtId="179" formatCode="#0.0???"/>
    </dxf>
    <dxf>
      <numFmt numFmtId="180" formatCode="0\ \ \ \ \ \ \ \ "/>
    </dxf>
    <dxf>
      <numFmt numFmtId="176" formatCode="0.0\ %\ \ "/>
    </dxf>
    <dxf>
      <numFmt numFmtId="176" formatCode="0.0\ %\ \ "/>
    </dxf>
    <dxf>
      <numFmt numFmtId="179" formatCode="#0.0???"/>
    </dxf>
    <dxf>
      <numFmt numFmtId="180" formatCode="0\ \ \ \ \ \ \ \ "/>
    </dxf>
    <dxf>
      <numFmt numFmtId="179" formatCode="#0.0???"/>
    </dxf>
    <dxf>
      <numFmt numFmtId="180" formatCode="0\ \ \ \ \ \ \ \ "/>
    </dxf>
    <dxf>
      <numFmt numFmtId="179" formatCode="#0.0???"/>
    </dxf>
    <dxf>
      <numFmt numFmtId="180" formatCode="0\ \ \ \ \ \ \ \ "/>
    </dxf>
    <dxf>
      <numFmt numFmtId="179" formatCode="#0.0???"/>
    </dxf>
    <dxf>
      <numFmt numFmtId="180" formatCode="0\ \ \ \ \ \ \ \ "/>
    </dxf>
    <dxf>
      <numFmt numFmtId="179" formatCode="#0.0???"/>
    </dxf>
    <dxf>
      <numFmt numFmtId="180" formatCode="0\ \ \ \ \ \ \ \ "/>
    </dxf>
    <dxf>
      <numFmt numFmtId="176" formatCode="0.0\ %\ \ "/>
    </dxf>
    <dxf>
      <numFmt numFmtId="176" formatCode="0.0\ %\ \ "/>
    </dxf>
  </dxfs>
  <tableStyles count="0" defaultTableStyle="TableStyleMedium2" defaultPivotStyle="PivotStyleLight16"/>
  <colors>
    <mruColors>
      <color rgb="FFCCFF99"/>
      <color rgb="FFEAFF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bifa-projekte\7%20Chemische%20Verfahrenstechnik%20und%20Analytik\730638%20ITAD%20Aktualisierung%20Praxisleitfaden%202022\600_Bearbeitung\610_Aktualisierung_Grundlagen\__Vorlage_Auswertung_Laborergebnisse_Einstufung_231019.xlsx" TargetMode="External"/><Relationship Id="rId1" Type="http://schemas.openxmlformats.org/officeDocument/2006/relationships/externalLinkPath" Target="/bifa-projekte/7%20Chemische%20Verfahrenstechnik%20und%20Analytik/730638%20ITAD%20Aktualisierung%20Praxisleitfaden%202022/600_Bearbeitung/610_Aktualisierung_Grundlagen/__Vorlage_Auswertung_Laborergebnisse_Einstufung_231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hode"/>
      <sheetName val="QS"/>
      <sheetName val="Probenliste"/>
      <sheetName val="Vorbereitg_b_PN"/>
      <sheetName val="Etiketten"/>
      <sheetName val="Wiegez._TP_A"/>
      <sheetName val="Wiegez._TP_B"/>
      <sheetName val="WG_pH_Lf_Aufber"/>
      <sheetName val="LP_1"/>
      <sheetName val="LP_2"/>
      <sheetName val="LP_3"/>
      <sheetName val="LP_4"/>
      <sheetName val="LP_5"/>
      <sheetName val="LP_6"/>
      <sheetName val="PAufarbeitung_Protokoll"/>
      <sheetName val="Messwerte_Analysenprobe"/>
      <sheetName val="für_Einstufung"/>
      <sheetName val="HIndex"/>
      <sheetName val="Bewertungsgrundlage"/>
      <sheetName val="HPxx_Tabellen"/>
      <sheetName val="HP14_einzeln"/>
      <sheetName val="Schema Brechen"/>
      <sheetName val="Schema_Mahlen"/>
      <sheetName val="HPxx_engl"/>
      <sheetName val="sample_prep"/>
      <sheetName val="12.BImSchV"/>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ow r="11">
          <cell r="D11" t="str">
            <v>&lt;</v>
          </cell>
        </row>
        <row r="12">
          <cell r="D12" t="str">
            <v xml:space="preserve"> </v>
          </cell>
        </row>
        <row r="13">
          <cell r="D13" t="str">
            <v xml:space="preserve"> </v>
          </cell>
        </row>
        <row r="14">
          <cell r="D14" t="str">
            <v xml:space="preserve"> </v>
          </cell>
        </row>
        <row r="15">
          <cell r="D15" t="str">
            <v xml:space="preserve"> </v>
          </cell>
        </row>
        <row r="16">
          <cell r="D16" t="str">
            <v xml:space="preserve"> </v>
          </cell>
        </row>
        <row r="17">
          <cell r="D17" t="str">
            <v xml:space="preserve"> </v>
          </cell>
        </row>
        <row r="18">
          <cell r="D18" t="str">
            <v xml:space="preserve"> </v>
          </cell>
        </row>
        <row r="19">
          <cell r="D19" t="str">
            <v xml:space="preserve"> </v>
          </cell>
        </row>
        <row r="20">
          <cell r="D20" t="str">
            <v xml:space="preserve"> </v>
          </cell>
        </row>
        <row r="21">
          <cell r="D21" t="str">
            <v xml:space="preserve"> </v>
          </cell>
        </row>
        <row r="22">
          <cell r="D22" t="str">
            <v xml:space="preserve"> </v>
          </cell>
        </row>
        <row r="23">
          <cell r="D23" t="str">
            <v xml:space="preserve"> </v>
          </cell>
        </row>
        <row r="24">
          <cell r="D24" t="str">
            <v xml:space="preserve"> </v>
          </cell>
        </row>
        <row r="25">
          <cell r="D25" t="str">
            <v xml:space="preserve"> </v>
          </cell>
        </row>
        <row r="26">
          <cell r="D26" t="str">
            <v xml:space="preserve"> </v>
          </cell>
        </row>
        <row r="27">
          <cell r="D27" t="str">
            <v xml:space="preserve"> </v>
          </cell>
        </row>
        <row r="28">
          <cell r="D28" t="str">
            <v xml:space="preserve"> </v>
          </cell>
        </row>
        <row r="29">
          <cell r="D29" t="str">
            <v xml:space="preserve"> </v>
          </cell>
        </row>
        <row r="30">
          <cell r="D30" t="str">
            <v xml:space="preserve"> </v>
          </cell>
        </row>
        <row r="31">
          <cell r="D31" t="str">
            <v xml:space="preserve"> </v>
          </cell>
        </row>
        <row r="32">
          <cell r="D32" t="str">
            <v xml:space="preserve"> </v>
          </cell>
        </row>
        <row r="33">
          <cell r="D33" t="str">
            <v xml:space="preserve"> </v>
          </cell>
        </row>
        <row r="34">
          <cell r="D34" t="str">
            <v xml:space="preserve"> </v>
          </cell>
        </row>
        <row r="35">
          <cell r="D35" t="str">
            <v xml:space="preserve"> </v>
          </cell>
        </row>
        <row r="36">
          <cell r="D36" t="str">
            <v xml:space="preserve"> </v>
          </cell>
        </row>
        <row r="37">
          <cell r="D37" t="str">
            <v xml:space="preserve"> </v>
          </cell>
        </row>
        <row r="38">
          <cell r="D38" t="str">
            <v>&lt;</v>
          </cell>
        </row>
        <row r="39">
          <cell r="D39" t="str">
            <v xml:space="preserve"> </v>
          </cell>
        </row>
        <row r="40">
          <cell r="D40" t="str">
            <v xml:space="preserve"> </v>
          </cell>
        </row>
        <row r="41">
          <cell r="D41" t="str">
            <v xml:space="preserve"> </v>
          </cell>
        </row>
        <row r="42">
          <cell r="D42" t="str">
            <v xml:space="preserve"> </v>
          </cell>
        </row>
        <row r="50">
          <cell r="D50" t="str">
            <v xml:space="preserve"> </v>
          </cell>
        </row>
        <row r="52">
          <cell r="D52" t="str">
            <v xml:space="preserve"> </v>
          </cell>
        </row>
        <row r="53">
          <cell r="D53" t="str">
            <v xml:space="preserve"> </v>
          </cell>
        </row>
        <row r="54">
          <cell r="D54" t="str">
            <v xml:space="preserve"> </v>
          </cell>
        </row>
        <row r="59">
          <cell r="G59" t="str">
            <v>n.b.</v>
          </cell>
          <cell r="I59" t="str">
            <v>n.b.</v>
          </cell>
          <cell r="K59" t="str">
            <v>n.b.</v>
          </cell>
          <cell r="M59" t="str">
            <v>n.b.</v>
          </cell>
          <cell r="O59" t="str">
            <v>n.b.</v>
          </cell>
        </row>
        <row r="60">
          <cell r="G60" t="str">
            <v>n.b.</v>
          </cell>
          <cell r="I60" t="str">
            <v>n.b.</v>
          </cell>
          <cell r="K60" t="str">
            <v>n.b.</v>
          </cell>
          <cell r="M60" t="str">
            <v>n.b.</v>
          </cell>
          <cell r="O60" t="str">
            <v>n.b.</v>
          </cell>
        </row>
        <row r="65">
          <cell r="D65" t="str">
            <v xml:space="preserve"> </v>
          </cell>
        </row>
        <row r="72">
          <cell r="D72" t="str">
            <v xml:space="preserve"> </v>
          </cell>
        </row>
        <row r="75">
          <cell r="D75" t="str">
            <v xml:space="preserve"> </v>
          </cell>
        </row>
        <row r="76">
          <cell r="D76" t="str">
            <v xml:space="preserve"> </v>
          </cell>
        </row>
        <row r="77">
          <cell r="D77" t="str">
            <v xml:space="preserve"> </v>
          </cell>
        </row>
        <row r="83">
          <cell r="D83" t="str">
            <v xml:space="preserve"> </v>
          </cell>
        </row>
        <row r="84">
          <cell r="D84" t="str">
            <v xml:space="preserve"> </v>
          </cell>
        </row>
      </sheetData>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fo@itad.de" TargetMode="External"/><Relationship Id="rId2" Type="http://schemas.openxmlformats.org/officeDocument/2006/relationships/hyperlink" Target="mailto:hnordsieck@posteo.de" TargetMode="External"/><Relationship Id="rId1" Type="http://schemas.openxmlformats.org/officeDocument/2006/relationships/hyperlink" Target="mailto:solutions@bifa.de" TargetMode="External"/><Relationship Id="rId5" Type="http://schemas.openxmlformats.org/officeDocument/2006/relationships/printerSettings" Target="../printerSettings/printerSettings1.bin"/><Relationship Id="rId4" Type="http://schemas.openxmlformats.org/officeDocument/2006/relationships/hyperlink" Target="mailto:info@igam-hmva.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B00A6-518D-4494-9D7B-5D9227996499}">
  <dimension ref="A1:C86"/>
  <sheetViews>
    <sheetView workbookViewId="0">
      <selection sqref="A1:A6"/>
    </sheetView>
  </sheetViews>
  <sheetFormatPr baseColWidth="10" defaultRowHeight="13.2" x14ac:dyDescent="0.25"/>
  <cols>
    <col min="1" max="1" width="6.6640625" customWidth="1"/>
    <col min="3" max="3" width="68.44140625" customWidth="1"/>
  </cols>
  <sheetData>
    <row r="1" spans="1:2" x14ac:dyDescent="0.25">
      <c r="A1" s="71" t="s">
        <v>256</v>
      </c>
    </row>
    <row r="2" spans="1:2" ht="27" customHeight="1" x14ac:dyDescent="0.3">
      <c r="A2" s="288" t="s">
        <v>259</v>
      </c>
    </row>
    <row r="3" spans="1:2" ht="27" customHeight="1" x14ac:dyDescent="0.3">
      <c r="A3" s="288" t="s">
        <v>253</v>
      </c>
    </row>
    <row r="4" spans="1:2" ht="17.399999999999999" x14ac:dyDescent="0.3">
      <c r="A4" s="288" t="s">
        <v>254</v>
      </c>
    </row>
    <row r="5" spans="1:2" ht="17.399999999999999" x14ac:dyDescent="0.3">
      <c r="A5" s="288" t="s">
        <v>255</v>
      </c>
    </row>
    <row r="6" spans="1:2" x14ac:dyDescent="0.25">
      <c r="A6" t="s">
        <v>270</v>
      </c>
    </row>
    <row r="8" spans="1:2" x14ac:dyDescent="0.25">
      <c r="A8" t="s">
        <v>261</v>
      </c>
    </row>
    <row r="9" spans="1:2" x14ac:dyDescent="0.25">
      <c r="A9" t="s">
        <v>262</v>
      </c>
    </row>
    <row r="10" spans="1:2" x14ac:dyDescent="0.25">
      <c r="A10" t="s">
        <v>263</v>
      </c>
    </row>
    <row r="12" spans="1:2" x14ac:dyDescent="0.25">
      <c r="A12" t="s">
        <v>264</v>
      </c>
    </row>
    <row r="13" spans="1:2" x14ac:dyDescent="0.25">
      <c r="A13" s="8" t="s">
        <v>96</v>
      </c>
      <c r="B13" t="s">
        <v>265</v>
      </c>
    </row>
    <row r="14" spans="1:2" x14ac:dyDescent="0.25">
      <c r="A14" s="8" t="s">
        <v>96</v>
      </c>
      <c r="B14" t="s">
        <v>267</v>
      </c>
    </row>
    <row r="15" spans="1:2" x14ac:dyDescent="0.25">
      <c r="A15" s="8" t="s">
        <v>96</v>
      </c>
      <c r="B15" t="s">
        <v>268</v>
      </c>
    </row>
    <row r="16" spans="1:2" x14ac:dyDescent="0.25">
      <c r="B16" t="s">
        <v>269</v>
      </c>
    </row>
    <row r="18" spans="1:2" x14ac:dyDescent="0.25">
      <c r="A18" s="291" t="s">
        <v>279</v>
      </c>
    </row>
    <row r="19" spans="1:2" x14ac:dyDescent="0.25">
      <c r="B19" t="s">
        <v>351</v>
      </c>
    </row>
    <row r="20" spans="1:2" x14ac:dyDescent="0.25">
      <c r="B20" t="s">
        <v>352</v>
      </c>
    </row>
    <row r="73" spans="1:2" x14ac:dyDescent="0.25">
      <c r="B73" s="294"/>
    </row>
    <row r="75" spans="1:2" x14ac:dyDescent="0.25">
      <c r="A75" t="s">
        <v>266</v>
      </c>
      <c r="B75" s="290">
        <v>45219</v>
      </c>
    </row>
    <row r="77" spans="1:2" x14ac:dyDescent="0.25">
      <c r="A77" t="s">
        <v>257</v>
      </c>
    </row>
    <row r="78" spans="1:2" x14ac:dyDescent="0.25">
      <c r="A78" t="s">
        <v>260</v>
      </c>
    </row>
    <row r="80" spans="1:2" x14ac:dyDescent="0.25">
      <c r="B80" s="289"/>
    </row>
    <row r="81" spans="1:3" x14ac:dyDescent="0.25">
      <c r="A81" t="s">
        <v>277</v>
      </c>
    </row>
    <row r="82" spans="1:3" x14ac:dyDescent="0.25">
      <c r="A82" t="s">
        <v>272</v>
      </c>
    </row>
    <row r="83" spans="1:3" x14ac:dyDescent="0.25">
      <c r="C83" s="289" t="s">
        <v>271</v>
      </c>
    </row>
    <row r="84" spans="1:3" x14ac:dyDescent="0.25">
      <c r="A84" t="s">
        <v>273</v>
      </c>
      <c r="C84" s="289" t="s">
        <v>258</v>
      </c>
    </row>
    <row r="85" spans="1:3" x14ac:dyDescent="0.25">
      <c r="A85" t="s">
        <v>274</v>
      </c>
      <c r="C85" s="289" t="s">
        <v>275</v>
      </c>
    </row>
    <row r="86" spans="1:3" x14ac:dyDescent="0.25">
      <c r="C86" s="289" t="s">
        <v>276</v>
      </c>
    </row>
  </sheetData>
  <hyperlinks>
    <hyperlink ref="C83" r:id="rId1" xr:uid="{CD5DC932-7BF8-47C8-8B63-3B1928A485A3}"/>
    <hyperlink ref="C84" r:id="rId2" xr:uid="{A9F17125-AA1F-4F3E-BAF5-52A57F15D687}"/>
    <hyperlink ref="C85" r:id="rId3" display="mailto:info@itad.de" xr:uid="{875B713D-F057-43E7-8874-5A5C764AF0B9}"/>
    <hyperlink ref="C86" r:id="rId4" display="mailto:info@igam-hmva.de" xr:uid="{B78D3DDD-91E3-4A45-BE20-10D9FA6427A7}"/>
  </hyperlinks>
  <pageMargins left="0.7" right="0.7" top="0.78740157499999996" bottom="0.78740157499999996" header="0.3" footer="0.3"/>
  <pageSetup paperSize="9" orientation="portrait" r:id="rId5"/>
  <rowBreaks count="1" manualBreakCount="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6D793-7A17-4C49-8D37-A4E140F0FF8E}">
  <dimension ref="A1:F86"/>
  <sheetViews>
    <sheetView tabSelected="1" workbookViewId="0">
      <selection activeCell="B19" sqref="B19"/>
    </sheetView>
  </sheetViews>
  <sheetFormatPr baseColWidth="10" defaultRowHeight="13.2" x14ac:dyDescent="0.25"/>
  <cols>
    <col min="2" max="2" width="74.88671875" customWidth="1"/>
    <col min="3" max="3" width="6.6640625" customWidth="1"/>
    <col min="5" max="5" width="68.44140625" customWidth="1"/>
    <col min="6" max="6" width="6.6640625" customWidth="1"/>
  </cols>
  <sheetData>
    <row r="1" spans="1:6" x14ac:dyDescent="0.25">
      <c r="A1" s="71" t="s">
        <v>400</v>
      </c>
    </row>
    <row r="2" spans="1:6" ht="17.399999999999999" x14ac:dyDescent="0.3">
      <c r="A2" s="288" t="s">
        <v>259</v>
      </c>
    </row>
    <row r="3" spans="1:6" ht="17.399999999999999" x14ac:dyDescent="0.3">
      <c r="A3" s="288" t="s">
        <v>253</v>
      </c>
    </row>
    <row r="4" spans="1:6" ht="17.399999999999999" x14ac:dyDescent="0.3">
      <c r="A4" s="288" t="s">
        <v>254</v>
      </c>
    </row>
    <row r="5" spans="1:6" ht="17.399999999999999" x14ac:dyDescent="0.3">
      <c r="A5" s="288" t="s">
        <v>255</v>
      </c>
    </row>
    <row r="6" spans="1:6" x14ac:dyDescent="0.25">
      <c r="A6" t="s">
        <v>403</v>
      </c>
    </row>
    <row r="9" spans="1:6" ht="17.399999999999999" x14ac:dyDescent="0.3">
      <c r="A9" s="288" t="s">
        <v>398</v>
      </c>
      <c r="C9" s="288"/>
      <c r="F9" s="288"/>
    </row>
    <row r="10" spans="1:6" ht="17.399999999999999" x14ac:dyDescent="0.3">
      <c r="B10" s="90" t="s">
        <v>399</v>
      </c>
      <c r="C10" s="288"/>
      <c r="F10" s="288"/>
    </row>
    <row r="11" spans="1:6" ht="9.75" customHeight="1" x14ac:dyDescent="0.3">
      <c r="C11" s="288"/>
      <c r="F11" s="288"/>
    </row>
    <row r="12" spans="1:6" ht="17.399999999999999" x14ac:dyDescent="0.3">
      <c r="A12" t="s">
        <v>379</v>
      </c>
      <c r="B12" s="90"/>
      <c r="C12" s="288"/>
      <c r="F12" s="288"/>
    </row>
    <row r="13" spans="1:6" x14ac:dyDescent="0.25">
      <c r="B13" s="90" t="s">
        <v>380</v>
      </c>
    </row>
    <row r="14" spans="1:6" ht="6.75" customHeight="1" x14ac:dyDescent="0.25">
      <c r="B14" s="90"/>
      <c r="C14" s="8"/>
      <c r="F14" s="8"/>
    </row>
    <row r="15" spans="1:6" x14ac:dyDescent="0.25">
      <c r="A15" t="s">
        <v>361</v>
      </c>
      <c r="B15" s="90"/>
    </row>
    <row r="16" spans="1:6" x14ac:dyDescent="0.25">
      <c r="A16" s="99" t="s">
        <v>96</v>
      </c>
      <c r="B16" s="90" t="s">
        <v>381</v>
      </c>
    </row>
    <row r="17" spans="1:6" x14ac:dyDescent="0.25">
      <c r="B17" s="90" t="s">
        <v>382</v>
      </c>
    </row>
    <row r="18" spans="1:6" x14ac:dyDescent="0.25">
      <c r="A18" t="s">
        <v>357</v>
      </c>
      <c r="B18" s="90"/>
    </row>
    <row r="19" spans="1:6" ht="16.2" customHeight="1" x14ac:dyDescent="0.25">
      <c r="A19" s="99" t="s">
        <v>96</v>
      </c>
      <c r="B19" s="84" t="s">
        <v>358</v>
      </c>
    </row>
    <row r="20" spans="1:6" ht="26.4" x14ac:dyDescent="0.25">
      <c r="A20" s="99" t="s">
        <v>96</v>
      </c>
      <c r="B20" s="90" t="s">
        <v>359</v>
      </c>
    </row>
    <row r="21" spans="1:6" ht="26.4" x14ac:dyDescent="0.25">
      <c r="A21" s="99" t="s">
        <v>96</v>
      </c>
      <c r="B21" s="90" t="s">
        <v>360</v>
      </c>
      <c r="C21" s="8"/>
      <c r="F21" s="8"/>
    </row>
    <row r="22" spans="1:6" ht="6.75" customHeight="1" x14ac:dyDescent="0.25">
      <c r="B22" s="90"/>
      <c r="C22" s="8"/>
      <c r="F22" s="8"/>
    </row>
    <row r="23" spans="1:6" x14ac:dyDescent="0.25">
      <c r="A23" t="s">
        <v>362</v>
      </c>
      <c r="B23" s="90"/>
      <c r="C23" s="8"/>
      <c r="F23" s="8"/>
    </row>
    <row r="24" spans="1:6" x14ac:dyDescent="0.25">
      <c r="A24" s="293" t="s">
        <v>383</v>
      </c>
      <c r="B24" s="90"/>
    </row>
    <row r="25" spans="1:6" x14ac:dyDescent="0.25">
      <c r="B25" s="90" t="s">
        <v>384</v>
      </c>
    </row>
    <row r="26" spans="1:6" x14ac:dyDescent="0.25">
      <c r="B26" s="90" t="s">
        <v>385</v>
      </c>
      <c r="C26" s="291"/>
      <c r="F26" s="291"/>
    </row>
    <row r="27" spans="1:6" x14ac:dyDescent="0.25">
      <c r="A27" s="99" t="s">
        <v>96</v>
      </c>
      <c r="B27" s="90" t="s">
        <v>371</v>
      </c>
    </row>
    <row r="28" spans="1:6" x14ac:dyDescent="0.25">
      <c r="B28" s="90" t="s">
        <v>363</v>
      </c>
    </row>
    <row r="29" spans="1:6" x14ac:dyDescent="0.25">
      <c r="B29" s="90" t="s">
        <v>364</v>
      </c>
    </row>
    <row r="30" spans="1:6" ht="26.4" x14ac:dyDescent="0.25">
      <c r="B30" s="90" t="s">
        <v>386</v>
      </c>
    </row>
    <row r="31" spans="1:6" x14ac:dyDescent="0.25">
      <c r="B31" s="90" t="s">
        <v>370</v>
      </c>
    </row>
    <row r="32" spans="1:6" ht="26.4" x14ac:dyDescent="0.25">
      <c r="B32" s="90" t="s">
        <v>387</v>
      </c>
    </row>
    <row r="33" spans="1:6" ht="26.4" x14ac:dyDescent="0.25">
      <c r="B33" s="90" t="s">
        <v>365</v>
      </c>
    </row>
    <row r="34" spans="1:6" ht="26.4" x14ac:dyDescent="0.25">
      <c r="A34" s="99" t="s">
        <v>96</v>
      </c>
      <c r="B34" s="90" t="s">
        <v>388</v>
      </c>
    </row>
    <row r="35" spans="1:6" ht="6.75" customHeight="1" x14ac:dyDescent="0.25">
      <c r="B35" s="90"/>
      <c r="C35" s="8"/>
      <c r="F35" s="8"/>
    </row>
    <row r="36" spans="1:6" x14ac:dyDescent="0.25">
      <c r="A36" t="s">
        <v>372</v>
      </c>
      <c r="B36" s="90"/>
    </row>
    <row r="37" spans="1:6" x14ac:dyDescent="0.25">
      <c r="A37" s="99" t="s">
        <v>96</v>
      </c>
      <c r="B37" s="90" t="s">
        <v>373</v>
      </c>
    </row>
    <row r="38" spans="1:6" ht="26.4" x14ac:dyDescent="0.25">
      <c r="A38" s="99" t="s">
        <v>96</v>
      </c>
      <c r="B38" s="90" t="s">
        <v>389</v>
      </c>
    </row>
    <row r="39" spans="1:6" ht="6.75" customHeight="1" x14ac:dyDescent="0.25">
      <c r="B39" s="90"/>
      <c r="C39" s="8"/>
      <c r="F39" s="8"/>
    </row>
    <row r="40" spans="1:6" x14ac:dyDescent="0.25">
      <c r="A40" t="s">
        <v>366</v>
      </c>
      <c r="B40" s="90"/>
    </row>
    <row r="41" spans="1:6" x14ac:dyDescent="0.25">
      <c r="A41" s="99" t="s">
        <v>96</v>
      </c>
      <c r="B41" s="90" t="s">
        <v>374</v>
      </c>
    </row>
    <row r="42" spans="1:6" ht="26.4" x14ac:dyDescent="0.25">
      <c r="A42" s="99" t="s">
        <v>96</v>
      </c>
      <c r="B42" s="90" t="s">
        <v>375</v>
      </c>
    </row>
    <row r="43" spans="1:6" x14ac:dyDescent="0.25">
      <c r="A43" s="99" t="s">
        <v>96</v>
      </c>
      <c r="B43" s="90" t="s">
        <v>376</v>
      </c>
    </row>
    <row r="44" spans="1:6" ht="26.4" x14ac:dyDescent="0.25">
      <c r="A44" s="99" t="s">
        <v>96</v>
      </c>
      <c r="B44" s="90" t="s">
        <v>367</v>
      </c>
    </row>
    <row r="45" spans="1:6" ht="6.75" customHeight="1" x14ac:dyDescent="0.25">
      <c r="B45" s="90"/>
      <c r="C45" s="8"/>
      <c r="F45" s="8"/>
    </row>
    <row r="46" spans="1:6" x14ac:dyDescent="0.25">
      <c r="A46" t="s">
        <v>368</v>
      </c>
      <c r="B46" s="90"/>
    </row>
    <row r="47" spans="1:6" ht="15.75" customHeight="1" x14ac:dyDescent="0.25">
      <c r="A47" s="293" t="s">
        <v>390</v>
      </c>
      <c r="B47" s="90"/>
    </row>
    <row r="48" spans="1:6" ht="26.4" x14ac:dyDescent="0.25">
      <c r="B48" s="90" t="s">
        <v>391</v>
      </c>
    </row>
    <row r="49" spans="1:2" ht="16.5" customHeight="1" x14ac:dyDescent="0.25">
      <c r="A49" s="293" t="s">
        <v>369</v>
      </c>
      <c r="B49" s="90"/>
    </row>
    <row r="50" spans="1:2" ht="26.4" x14ac:dyDescent="0.25">
      <c r="B50" s="90" t="s">
        <v>377</v>
      </c>
    </row>
    <row r="51" spans="1:2" ht="26.4" x14ac:dyDescent="0.25">
      <c r="A51" s="99" t="s">
        <v>96</v>
      </c>
      <c r="B51" s="90" t="s">
        <v>401</v>
      </c>
    </row>
    <row r="52" spans="1:2" ht="26.4" x14ac:dyDescent="0.25">
      <c r="A52" s="99" t="s">
        <v>96</v>
      </c>
      <c r="B52" s="90" t="s">
        <v>392</v>
      </c>
    </row>
    <row r="53" spans="1:2" ht="52.8" x14ac:dyDescent="0.25">
      <c r="A53" s="99" t="s">
        <v>96</v>
      </c>
      <c r="B53" s="90" t="s">
        <v>393</v>
      </c>
    </row>
    <row r="54" spans="1:2" ht="39.6" x14ac:dyDescent="0.25">
      <c r="A54" s="99" t="s">
        <v>96</v>
      </c>
      <c r="B54" s="90" t="s">
        <v>397</v>
      </c>
    </row>
    <row r="55" spans="1:2" ht="17.25" customHeight="1" x14ac:dyDescent="0.25">
      <c r="A55" s="293" t="s">
        <v>378</v>
      </c>
      <c r="B55" s="90"/>
    </row>
    <row r="56" spans="1:2" x14ac:dyDescent="0.25">
      <c r="B56" s="90" t="s">
        <v>395</v>
      </c>
    </row>
    <row r="57" spans="1:2" x14ac:dyDescent="0.25">
      <c r="B57" s="90" t="s">
        <v>396</v>
      </c>
    </row>
    <row r="58" spans="1:2" ht="26.4" x14ac:dyDescent="0.25">
      <c r="A58" s="99" t="s">
        <v>96</v>
      </c>
      <c r="B58" s="90" t="s">
        <v>402</v>
      </c>
    </row>
    <row r="59" spans="1:2" ht="26.4" x14ac:dyDescent="0.25">
      <c r="A59" s="99" t="s">
        <v>96</v>
      </c>
      <c r="B59" s="90" t="s">
        <v>394</v>
      </c>
    </row>
    <row r="60" spans="1:2" ht="52.8" x14ac:dyDescent="0.25">
      <c r="A60" s="99" t="s">
        <v>96</v>
      </c>
      <c r="B60" s="90" t="s">
        <v>393</v>
      </c>
    </row>
    <row r="61" spans="1:2" x14ac:dyDescent="0.25">
      <c r="B61" s="90"/>
    </row>
    <row r="73" spans="1:4" x14ac:dyDescent="0.25">
      <c r="A73" s="294"/>
      <c r="D73" s="294"/>
    </row>
    <row r="75" spans="1:4" x14ac:dyDescent="0.25">
      <c r="A75" s="290"/>
      <c r="D75" s="290"/>
    </row>
    <row r="80" spans="1:4" x14ac:dyDescent="0.25">
      <c r="A80" s="289"/>
      <c r="D80" s="289"/>
    </row>
    <row r="83" spans="2:5" x14ac:dyDescent="0.25">
      <c r="B83" s="289"/>
      <c r="E83" s="289"/>
    </row>
    <row r="84" spans="2:5" x14ac:dyDescent="0.25">
      <c r="B84" s="289"/>
      <c r="E84" s="289"/>
    </row>
    <row r="85" spans="2:5" x14ac:dyDescent="0.25">
      <c r="B85" s="289"/>
      <c r="E85" s="289"/>
    </row>
    <row r="86" spans="2:5" x14ac:dyDescent="0.25">
      <c r="B86" s="289"/>
      <c r="E86" s="289"/>
    </row>
  </sheetData>
  <pageMargins left="0.7" right="0.7" top="0.78740157499999996" bottom="0.78740157499999996" header="0.3" footer="0.3"/>
  <pageSetup paperSize="9" orientation="portrait" r:id="rId1"/>
  <rowBreaks count="1" manualBreakCount="1">
    <brk id="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35298-99B2-4551-B0D0-01A7432E8888}">
  <dimension ref="A1:R101"/>
  <sheetViews>
    <sheetView workbookViewId="0"/>
  </sheetViews>
  <sheetFormatPr baseColWidth="10" defaultRowHeight="13.2" x14ac:dyDescent="0.25"/>
  <cols>
    <col min="1" max="1" width="27.33203125" customWidth="1"/>
    <col min="2" max="2" width="11.109375" customWidth="1"/>
    <col min="3" max="3" width="18.109375" customWidth="1"/>
    <col min="4" max="4" width="8.88671875" customWidth="1"/>
    <col min="5" max="5" width="7.88671875" customWidth="1"/>
    <col min="6" max="6" width="10.6640625" customWidth="1"/>
    <col min="7" max="7" width="5.44140625" customWidth="1"/>
    <col min="9" max="9" width="5" customWidth="1"/>
    <col min="10" max="10" width="12.5546875" customWidth="1"/>
    <col min="11" max="11" width="6.109375" customWidth="1"/>
    <col min="12" max="12" width="12.5546875" customWidth="1"/>
    <col min="13" max="13" width="6.109375" customWidth="1"/>
    <col min="14" max="14" width="12.5546875" customWidth="1"/>
    <col min="15" max="15" width="4" customWidth="1"/>
    <col min="16" max="16" width="12.5546875" customWidth="1"/>
    <col min="17" max="17" width="4.109375" customWidth="1"/>
  </cols>
  <sheetData>
    <row r="1" spans="1:18" x14ac:dyDescent="0.25">
      <c r="A1" s="102" t="s">
        <v>204</v>
      </c>
      <c r="C1" s="95"/>
      <c r="D1" s="95"/>
      <c r="E1" s="102"/>
      <c r="F1" s="95"/>
      <c r="G1" s="95"/>
      <c r="H1" s="95"/>
      <c r="I1" s="95"/>
      <c r="J1" s="95"/>
      <c r="K1" s="95"/>
      <c r="L1" s="95"/>
      <c r="M1" s="95"/>
      <c r="N1" s="95"/>
      <c r="O1" s="95"/>
      <c r="P1" s="95"/>
      <c r="Q1" s="95"/>
    </row>
    <row r="2" spans="1:18" x14ac:dyDescent="0.25">
      <c r="A2" s="246" t="s">
        <v>206</v>
      </c>
      <c r="B2" s="246"/>
      <c r="C2" s="95"/>
      <c r="D2" s="95"/>
      <c r="E2" s="102"/>
      <c r="F2" s="95"/>
      <c r="G2" s="95"/>
      <c r="H2" s="95"/>
      <c r="I2" s="95"/>
      <c r="J2" s="95"/>
      <c r="K2" s="95"/>
      <c r="L2" s="95"/>
      <c r="M2" s="95"/>
      <c r="N2" s="95"/>
      <c r="O2" s="95"/>
      <c r="P2" s="95"/>
      <c r="Q2" s="95"/>
      <c r="R2" t="s">
        <v>226</v>
      </c>
    </row>
    <row r="3" spans="1:18" x14ac:dyDescent="0.25">
      <c r="A3" s="245" t="s">
        <v>205</v>
      </c>
      <c r="D3" t="s">
        <v>219</v>
      </c>
      <c r="E3" s="308"/>
      <c r="F3" s="309"/>
      <c r="G3" s="308"/>
      <c r="H3" s="309"/>
      <c r="I3" s="308"/>
      <c r="J3" s="309">
        <f>[1]Probenliste!$A$13</f>
        <v>0</v>
      </c>
      <c r="K3" s="308"/>
      <c r="L3" s="309">
        <f>[1]Probenliste!$A$14</f>
        <v>0</v>
      </c>
      <c r="M3" s="308"/>
      <c r="N3" s="309">
        <f>[1]Probenliste!$A$15</f>
        <v>0</v>
      </c>
      <c r="O3" s="308"/>
      <c r="P3" s="309"/>
      <c r="Q3" s="53"/>
    </row>
    <row r="4" spans="1:18" ht="26.4" x14ac:dyDescent="0.25">
      <c r="A4" s="91"/>
      <c r="B4" s="84"/>
      <c r="C4" s="90" t="s">
        <v>91</v>
      </c>
      <c r="D4" s="263" t="s">
        <v>220</v>
      </c>
      <c r="E4" s="310"/>
      <c r="F4" s="311"/>
      <c r="G4" s="310"/>
      <c r="H4" s="311"/>
      <c r="I4" s="310"/>
      <c r="J4" s="311">
        <f>[1]Probenliste!$B$13</f>
        <v>0</v>
      </c>
      <c r="K4" s="310"/>
      <c r="L4" s="311">
        <f>[1]Probenliste!$B$14</f>
        <v>0</v>
      </c>
      <c r="M4" s="310"/>
      <c r="N4" s="311">
        <f>[1]Probenliste!$B$15</f>
        <v>0</v>
      </c>
      <c r="O4" s="310"/>
      <c r="P4" s="311"/>
      <c r="Q4" s="53"/>
    </row>
    <row r="5" spans="1:18" x14ac:dyDescent="0.25">
      <c r="A5" s="71" t="s">
        <v>86</v>
      </c>
      <c r="B5" t="s">
        <v>76</v>
      </c>
      <c r="C5" t="s">
        <v>80</v>
      </c>
      <c r="E5" s="249"/>
      <c r="F5" s="65">
        <v>0.90909090909090906</v>
      </c>
      <c r="G5" s="259"/>
      <c r="H5" s="65">
        <v>0.90909090909090906</v>
      </c>
      <c r="I5" s="259"/>
      <c r="J5" s="65">
        <v>0.90909090909090906</v>
      </c>
      <c r="K5" s="259"/>
      <c r="L5" s="65">
        <v>0.90909090909090906</v>
      </c>
      <c r="M5" s="259"/>
      <c r="N5" s="65">
        <v>0.90909090909090906</v>
      </c>
      <c r="O5" s="259"/>
      <c r="P5" s="65">
        <v>0.90909090909090906</v>
      </c>
      <c r="Q5" s="53"/>
      <c r="R5" t="s">
        <v>227</v>
      </c>
    </row>
    <row r="6" spans="1:18" x14ac:dyDescent="0.25">
      <c r="A6" s="71" t="s">
        <v>84</v>
      </c>
      <c r="B6" t="s">
        <v>76</v>
      </c>
      <c r="C6" t="s">
        <v>80</v>
      </c>
      <c r="E6" s="249"/>
      <c r="F6" s="65">
        <v>9.0909090909090939E-2</v>
      </c>
      <c r="G6" s="259"/>
      <c r="H6" s="65">
        <v>9.0909090909090939E-2</v>
      </c>
      <c r="I6" s="259"/>
      <c r="J6" s="65">
        <v>9.0909090909090939E-2</v>
      </c>
      <c r="K6" s="259"/>
      <c r="L6" s="65">
        <v>9.0909090909090939E-2</v>
      </c>
      <c r="M6" s="259"/>
      <c r="N6" s="65">
        <v>9.0909090909090939E-2</v>
      </c>
      <c r="O6" s="259"/>
      <c r="P6" s="65">
        <v>9.0909090909090939E-2</v>
      </c>
      <c r="Q6" s="53"/>
      <c r="R6" t="s">
        <v>227</v>
      </c>
    </row>
    <row r="7" spans="1:18" ht="16.5" customHeight="1" x14ac:dyDescent="0.25">
      <c r="A7" s="244" t="s">
        <v>217</v>
      </c>
      <c r="E7" s="249"/>
      <c r="F7" s="65"/>
      <c r="G7" s="259"/>
      <c r="H7" s="65"/>
      <c r="I7" s="259"/>
      <c r="J7" s="65"/>
      <c r="K7" s="259"/>
      <c r="L7" s="65"/>
      <c r="M7" s="259"/>
      <c r="N7" s="65"/>
      <c r="O7" s="259"/>
      <c r="P7" s="65"/>
      <c r="Q7" s="53"/>
    </row>
    <row r="8" spans="1:18" x14ac:dyDescent="0.25">
      <c r="A8" s="56" t="s">
        <v>81</v>
      </c>
      <c r="B8" t="s">
        <v>76</v>
      </c>
      <c r="C8" t="s">
        <v>80</v>
      </c>
      <c r="E8" s="249"/>
      <c r="F8" s="65">
        <v>0</v>
      </c>
      <c r="G8" s="259"/>
      <c r="H8" s="65">
        <v>0</v>
      </c>
      <c r="I8" s="259"/>
      <c r="J8" s="65">
        <v>0</v>
      </c>
      <c r="K8" s="259"/>
      <c r="L8" s="65">
        <v>0</v>
      </c>
      <c r="M8" s="259"/>
      <c r="N8" s="65">
        <v>0</v>
      </c>
      <c r="O8" s="259"/>
      <c r="P8" s="65">
        <v>0</v>
      </c>
      <c r="Q8" s="53"/>
      <c r="R8" t="s">
        <v>228</v>
      </c>
    </row>
    <row r="9" spans="1:18" x14ac:dyDescent="0.25">
      <c r="A9" s="56" t="s">
        <v>79</v>
      </c>
      <c r="B9" t="s">
        <v>76</v>
      </c>
      <c r="C9" t="s">
        <v>222</v>
      </c>
      <c r="E9" s="249"/>
      <c r="F9" s="65">
        <v>0</v>
      </c>
      <c r="G9" s="259"/>
      <c r="H9" s="65">
        <v>0</v>
      </c>
      <c r="I9" s="259"/>
      <c r="J9" s="65">
        <v>0</v>
      </c>
      <c r="K9" s="259"/>
      <c r="L9" s="65">
        <v>0</v>
      </c>
      <c r="M9" s="259"/>
      <c r="N9" s="65">
        <v>0</v>
      </c>
      <c r="O9" s="259"/>
      <c r="P9" s="65">
        <v>0</v>
      </c>
      <c r="Q9" s="53"/>
      <c r="R9" t="s">
        <v>228</v>
      </c>
    </row>
    <row r="10" spans="1:18" x14ac:dyDescent="0.25">
      <c r="A10" s="56" t="s">
        <v>78</v>
      </c>
      <c r="B10" t="s">
        <v>76</v>
      </c>
      <c r="C10" t="s">
        <v>221</v>
      </c>
      <c r="E10" s="249"/>
      <c r="F10" s="251">
        <v>0</v>
      </c>
      <c r="G10" s="260"/>
      <c r="H10" s="251">
        <v>8.0000000000000002E-3</v>
      </c>
      <c r="I10" s="260"/>
      <c r="J10" s="251">
        <v>8.0000000000000002E-3</v>
      </c>
      <c r="K10" s="260"/>
      <c r="L10" s="251">
        <v>8.0000000000000002E-3</v>
      </c>
      <c r="M10" s="260"/>
      <c r="N10" s="251">
        <v>8.0000000000000002E-3</v>
      </c>
      <c r="O10" s="260"/>
      <c r="P10" s="251">
        <v>8.0000000000000002E-3</v>
      </c>
      <c r="Q10" s="53"/>
      <c r="R10" t="s">
        <v>228</v>
      </c>
    </row>
    <row r="11" spans="1:18" x14ac:dyDescent="0.25">
      <c r="A11" s="56" t="s">
        <v>77</v>
      </c>
      <c r="B11" t="s">
        <v>76</v>
      </c>
      <c r="C11" t="s">
        <v>221</v>
      </c>
      <c r="E11" s="249"/>
      <c r="F11" s="251">
        <v>2.5000000000000001E-3</v>
      </c>
      <c r="G11" s="260"/>
      <c r="H11" s="251">
        <v>4.0000000000000001E-3</v>
      </c>
      <c r="I11" s="260"/>
      <c r="J11" s="251">
        <v>4.0000000000000001E-3</v>
      </c>
      <c r="K11" s="260"/>
      <c r="L11" s="251">
        <v>4.0000000000000001E-3</v>
      </c>
      <c r="M11" s="260"/>
      <c r="N11" s="251">
        <v>4.0000000000000001E-3</v>
      </c>
      <c r="O11" s="260"/>
      <c r="P11" s="251">
        <v>4.0000000000000001E-3</v>
      </c>
      <c r="Q11" s="53"/>
      <c r="R11" t="s">
        <v>228</v>
      </c>
    </row>
    <row r="12" spans="1:18" ht="18.75" customHeight="1" x14ac:dyDescent="0.25">
      <c r="A12" s="71" t="s">
        <v>203</v>
      </c>
      <c r="D12" s="63"/>
      <c r="E12" s="249"/>
      <c r="F12" s="44"/>
      <c r="G12" s="2"/>
      <c r="H12" s="44"/>
      <c r="I12" s="2"/>
      <c r="J12" s="44"/>
      <c r="K12" s="2"/>
      <c r="L12" s="44"/>
      <c r="M12" s="2"/>
      <c r="N12" s="44"/>
      <c r="O12" s="2"/>
      <c r="P12" s="44"/>
      <c r="Q12" s="53"/>
    </row>
    <row r="13" spans="1:18" x14ac:dyDescent="0.25">
      <c r="A13" s="56" t="s">
        <v>74</v>
      </c>
      <c r="B13" t="s">
        <v>218</v>
      </c>
      <c r="C13" t="s">
        <v>73</v>
      </c>
      <c r="E13" s="2" t="s">
        <v>3</v>
      </c>
      <c r="F13" s="273">
        <v>0.02</v>
      </c>
      <c r="G13" s="274"/>
      <c r="H13" s="273">
        <v>0.02</v>
      </c>
      <c r="I13" s="274"/>
      <c r="J13" s="273">
        <v>0.02</v>
      </c>
      <c r="K13" s="274"/>
      <c r="L13" s="273">
        <v>0.02</v>
      </c>
      <c r="M13" s="274"/>
      <c r="N13" s="273">
        <v>0.02</v>
      </c>
      <c r="O13" s="274"/>
      <c r="P13" s="273">
        <v>0.02</v>
      </c>
      <c r="Q13" s="53"/>
      <c r="R13" t="s">
        <v>231</v>
      </c>
    </row>
    <row r="14" spans="1:18" x14ac:dyDescent="0.25">
      <c r="A14" s="56" t="s">
        <v>71</v>
      </c>
      <c r="B14" t="s">
        <v>218</v>
      </c>
      <c r="C14" t="s">
        <v>39</v>
      </c>
      <c r="E14" s="2" t="s">
        <v>3</v>
      </c>
      <c r="F14" s="273" t="s">
        <v>248</v>
      </c>
      <c r="G14" s="274"/>
      <c r="H14" s="273" t="s">
        <v>248</v>
      </c>
      <c r="I14" s="274"/>
      <c r="J14" s="273" t="s">
        <v>248</v>
      </c>
      <c r="K14" s="274"/>
      <c r="L14" s="273" t="s">
        <v>248</v>
      </c>
      <c r="M14" s="274"/>
      <c r="N14" s="273" t="s">
        <v>248</v>
      </c>
      <c r="O14" s="274"/>
      <c r="P14" s="273" t="s">
        <v>248</v>
      </c>
      <c r="Q14" s="53"/>
      <c r="R14" t="s">
        <v>230</v>
      </c>
    </row>
    <row r="15" spans="1:18" x14ac:dyDescent="0.25">
      <c r="A15" s="56" t="s">
        <v>69</v>
      </c>
      <c r="B15" t="s">
        <v>218</v>
      </c>
      <c r="C15" t="s">
        <v>39</v>
      </c>
      <c r="E15" s="252" t="s">
        <v>3</v>
      </c>
      <c r="F15" s="273">
        <v>5.0000000000000001E-3</v>
      </c>
      <c r="G15" s="274"/>
      <c r="H15" s="273">
        <v>5.0000000000000001E-3</v>
      </c>
      <c r="I15" s="274"/>
      <c r="J15" s="273">
        <v>5.0000000000000001E-3</v>
      </c>
      <c r="K15" s="274"/>
      <c r="L15" s="273">
        <v>5.0000000000000001E-3</v>
      </c>
      <c r="M15" s="274"/>
      <c r="N15" s="273">
        <v>5.0000000000000001E-3</v>
      </c>
      <c r="O15" s="274"/>
      <c r="P15" s="273">
        <v>5.0000000000000001E-3</v>
      </c>
      <c r="Q15" s="53"/>
      <c r="R15" t="s">
        <v>229</v>
      </c>
    </row>
    <row r="16" spans="1:18" x14ac:dyDescent="0.25">
      <c r="A16" s="56" t="s">
        <v>225</v>
      </c>
      <c r="B16" t="s">
        <v>40</v>
      </c>
      <c r="C16" t="s">
        <v>39</v>
      </c>
      <c r="E16" s="252"/>
      <c r="F16" s="253"/>
      <c r="G16" s="261"/>
      <c r="H16" s="253"/>
      <c r="I16" s="261"/>
      <c r="J16" s="253"/>
      <c r="K16" s="261"/>
      <c r="L16" s="253"/>
      <c r="M16" s="261"/>
      <c r="N16" s="253"/>
      <c r="O16" s="261"/>
      <c r="P16" s="253"/>
      <c r="Q16" s="53"/>
      <c r="R16" t="s">
        <v>233</v>
      </c>
    </row>
    <row r="17" spans="1:18" x14ac:dyDescent="0.25">
      <c r="A17" s="56" t="s">
        <v>65</v>
      </c>
      <c r="B17" t="s">
        <v>40</v>
      </c>
      <c r="C17" t="s">
        <v>39</v>
      </c>
      <c r="D17" s="43"/>
      <c r="E17" s="254" t="str">
        <f>[1]Messwerte_Analysenprobe!D11</f>
        <v>&lt;</v>
      </c>
      <c r="F17" s="39">
        <v>5</v>
      </c>
      <c r="G17" s="254" t="s">
        <v>249</v>
      </c>
      <c r="H17" s="39">
        <v>5</v>
      </c>
      <c r="I17" s="254" t="s">
        <v>249</v>
      </c>
      <c r="J17" s="39">
        <v>5</v>
      </c>
      <c r="K17" s="254" t="s">
        <v>249</v>
      </c>
      <c r="L17" s="39">
        <v>5</v>
      </c>
      <c r="M17" s="254" t="s">
        <v>249</v>
      </c>
      <c r="N17" s="39">
        <v>5</v>
      </c>
      <c r="O17" s="254" t="s">
        <v>249</v>
      </c>
      <c r="P17" s="39">
        <v>5</v>
      </c>
      <c r="Q17" s="53"/>
      <c r="R17" t="s">
        <v>186</v>
      </c>
    </row>
    <row r="18" spans="1:18" x14ac:dyDescent="0.25">
      <c r="A18" s="56" t="s">
        <v>64</v>
      </c>
      <c r="B18" t="s">
        <v>40</v>
      </c>
      <c r="C18" t="s">
        <v>39</v>
      </c>
      <c r="D18" s="43"/>
      <c r="E18" s="254" t="str">
        <f>[1]Messwerte_Analysenprobe!D12</f>
        <v xml:space="preserve"> </v>
      </c>
      <c r="F18" s="39">
        <v>100</v>
      </c>
      <c r="G18" s="254" t="s">
        <v>3</v>
      </c>
      <c r="H18" s="39">
        <v>100</v>
      </c>
      <c r="I18" s="254" t="s">
        <v>3</v>
      </c>
      <c r="J18" s="39">
        <v>100</v>
      </c>
      <c r="K18" s="254" t="s">
        <v>3</v>
      </c>
      <c r="L18" s="39">
        <v>100</v>
      </c>
      <c r="M18" s="254" t="s">
        <v>3</v>
      </c>
      <c r="N18" s="39">
        <v>100</v>
      </c>
      <c r="O18" s="254" t="s">
        <v>3</v>
      </c>
      <c r="P18" s="39">
        <v>100</v>
      </c>
      <c r="Q18" s="53"/>
      <c r="R18" t="s">
        <v>186</v>
      </c>
    </row>
    <row r="19" spans="1:18" x14ac:dyDescent="0.25">
      <c r="A19" s="56" t="s">
        <v>63</v>
      </c>
      <c r="B19" t="s">
        <v>40</v>
      </c>
      <c r="C19" t="s">
        <v>39</v>
      </c>
      <c r="D19" s="43"/>
      <c r="E19" s="254" t="str">
        <f>[1]Messwerte_Analysenprobe!D13</f>
        <v xml:space="preserve"> </v>
      </c>
      <c r="F19" s="39">
        <v>150</v>
      </c>
      <c r="G19" s="254" t="s">
        <v>3</v>
      </c>
      <c r="H19" s="39">
        <v>150</v>
      </c>
      <c r="I19" s="254" t="s">
        <v>3</v>
      </c>
      <c r="J19" s="39">
        <v>150</v>
      </c>
      <c r="K19" s="254" t="s">
        <v>3</v>
      </c>
      <c r="L19" s="39">
        <v>150</v>
      </c>
      <c r="M19" s="254" t="s">
        <v>3</v>
      </c>
      <c r="N19" s="39">
        <v>150</v>
      </c>
      <c r="O19" s="254" t="s">
        <v>3</v>
      </c>
      <c r="P19" s="39">
        <v>150</v>
      </c>
      <c r="Q19" s="53"/>
      <c r="R19" t="s">
        <v>186</v>
      </c>
    </row>
    <row r="20" spans="1:18" x14ac:dyDescent="0.25">
      <c r="A20" s="56" t="s">
        <v>62</v>
      </c>
      <c r="B20" t="s">
        <v>40</v>
      </c>
      <c r="C20" t="s">
        <v>39</v>
      </c>
      <c r="D20" s="43"/>
      <c r="E20" s="254" t="str">
        <f>[1]Messwerte_Analysenprobe!D14</f>
        <v xml:space="preserve"> </v>
      </c>
      <c r="F20" s="39">
        <v>200</v>
      </c>
      <c r="G20" s="254" t="s">
        <v>3</v>
      </c>
      <c r="H20" s="39">
        <v>200</v>
      </c>
      <c r="I20" s="254" t="s">
        <v>3</v>
      </c>
      <c r="J20" s="39">
        <v>200</v>
      </c>
      <c r="K20" s="254" t="s">
        <v>3</v>
      </c>
      <c r="L20" s="39">
        <v>200</v>
      </c>
      <c r="M20" s="254" t="s">
        <v>3</v>
      </c>
      <c r="N20" s="39">
        <v>200</v>
      </c>
      <c r="O20" s="254" t="s">
        <v>3</v>
      </c>
      <c r="P20" s="39">
        <v>200</v>
      </c>
      <c r="Q20" s="53"/>
      <c r="R20" t="s">
        <v>186</v>
      </c>
    </row>
    <row r="21" spans="1:18" x14ac:dyDescent="0.25">
      <c r="A21" s="56" t="s">
        <v>61</v>
      </c>
      <c r="B21" t="s">
        <v>40</v>
      </c>
      <c r="C21" t="s">
        <v>39</v>
      </c>
      <c r="D21" s="43"/>
      <c r="E21" s="254" t="str">
        <f>[1]Messwerte_Analysenprobe!D15</f>
        <v xml:space="preserve"> </v>
      </c>
      <c r="F21" s="39">
        <v>250</v>
      </c>
      <c r="G21" s="254" t="s">
        <v>3</v>
      </c>
      <c r="H21" s="39">
        <v>250</v>
      </c>
      <c r="I21" s="254" t="s">
        <v>3</v>
      </c>
      <c r="J21" s="39">
        <v>250</v>
      </c>
      <c r="K21" s="254" t="s">
        <v>3</v>
      </c>
      <c r="L21" s="39">
        <v>250</v>
      </c>
      <c r="M21" s="254" t="s">
        <v>3</v>
      </c>
      <c r="N21" s="39">
        <v>250</v>
      </c>
      <c r="O21" s="254" t="s">
        <v>3</v>
      </c>
      <c r="P21" s="39">
        <v>250</v>
      </c>
      <c r="Q21" s="53"/>
      <c r="R21" t="s">
        <v>186</v>
      </c>
    </row>
    <row r="22" spans="1:18" x14ac:dyDescent="0.25">
      <c r="A22" s="56" t="s">
        <v>60</v>
      </c>
      <c r="B22" t="s">
        <v>40</v>
      </c>
      <c r="C22" t="s">
        <v>39</v>
      </c>
      <c r="D22" s="43"/>
      <c r="E22" s="254" t="str">
        <f>[1]Messwerte_Analysenprobe!D16</f>
        <v xml:space="preserve"> </v>
      </c>
      <c r="F22" s="39">
        <v>100</v>
      </c>
      <c r="G22" s="254" t="s">
        <v>3</v>
      </c>
      <c r="H22" s="39">
        <v>100</v>
      </c>
      <c r="I22" s="254" t="s">
        <v>3</v>
      </c>
      <c r="J22" s="39">
        <v>100</v>
      </c>
      <c r="K22" s="254" t="s">
        <v>3</v>
      </c>
      <c r="L22" s="39">
        <v>100</v>
      </c>
      <c r="M22" s="254" t="s">
        <v>3</v>
      </c>
      <c r="N22" s="39">
        <v>100</v>
      </c>
      <c r="O22" s="254" t="s">
        <v>3</v>
      </c>
      <c r="P22" s="39">
        <v>100</v>
      </c>
      <c r="Q22" s="53"/>
      <c r="R22" t="s">
        <v>186</v>
      </c>
    </row>
    <row r="23" spans="1:18" x14ac:dyDescent="0.25">
      <c r="A23" s="56" t="s">
        <v>29</v>
      </c>
      <c r="B23" t="s">
        <v>40</v>
      </c>
      <c r="C23" t="s">
        <v>39</v>
      </c>
      <c r="D23" s="43"/>
      <c r="E23" s="254" t="str">
        <f>[1]Messwerte_Analysenprobe!D17</f>
        <v xml:space="preserve"> </v>
      </c>
      <c r="F23" s="39">
        <v>1250</v>
      </c>
      <c r="G23" s="254" t="s">
        <v>3</v>
      </c>
      <c r="H23" s="39">
        <v>1250</v>
      </c>
      <c r="I23" s="254" t="s">
        <v>3</v>
      </c>
      <c r="J23" s="39">
        <v>1250</v>
      </c>
      <c r="K23" s="254" t="s">
        <v>3</v>
      </c>
      <c r="L23" s="39">
        <v>1250</v>
      </c>
      <c r="M23" s="254" t="s">
        <v>3</v>
      </c>
      <c r="N23" s="39">
        <v>1250</v>
      </c>
      <c r="O23" s="254" t="s">
        <v>3</v>
      </c>
      <c r="P23" s="39">
        <v>1250</v>
      </c>
      <c r="Q23" s="53"/>
      <c r="R23" t="s">
        <v>233</v>
      </c>
    </row>
    <row r="24" spans="1:18" x14ac:dyDescent="0.25">
      <c r="A24" s="56" t="s">
        <v>59</v>
      </c>
      <c r="B24" t="s">
        <v>40</v>
      </c>
      <c r="C24" t="s">
        <v>39</v>
      </c>
      <c r="D24" s="43"/>
      <c r="E24" s="254" t="str">
        <f>[1]Messwerte_Analysenprobe!D18</f>
        <v xml:space="preserve"> </v>
      </c>
      <c r="F24" s="39">
        <v>300</v>
      </c>
      <c r="G24" s="254" t="s">
        <v>3</v>
      </c>
      <c r="H24" s="39">
        <v>300</v>
      </c>
      <c r="I24" s="254" t="s">
        <v>3</v>
      </c>
      <c r="J24" s="39">
        <v>300</v>
      </c>
      <c r="K24" s="254" t="s">
        <v>3</v>
      </c>
      <c r="L24" s="39">
        <v>300</v>
      </c>
      <c r="M24" s="254" t="s">
        <v>3</v>
      </c>
      <c r="N24" s="39">
        <v>300</v>
      </c>
      <c r="O24" s="254" t="s">
        <v>3</v>
      </c>
      <c r="P24" s="39">
        <v>300</v>
      </c>
      <c r="Q24" s="53"/>
      <c r="R24" t="s">
        <v>186</v>
      </c>
    </row>
    <row r="25" spans="1:18" x14ac:dyDescent="0.25">
      <c r="A25" s="56" t="s">
        <v>58</v>
      </c>
      <c r="B25" t="s">
        <v>40</v>
      </c>
      <c r="C25" t="s">
        <v>39</v>
      </c>
      <c r="D25" s="43"/>
      <c r="E25" s="254" t="str">
        <f>[1]Messwerte_Analysenprobe!D19</f>
        <v xml:space="preserve"> </v>
      </c>
      <c r="F25" s="39">
        <v>350</v>
      </c>
      <c r="G25" s="254" t="s">
        <v>3</v>
      </c>
      <c r="H25" s="39">
        <v>350</v>
      </c>
      <c r="I25" s="254" t="s">
        <v>3</v>
      </c>
      <c r="J25" s="39">
        <v>350</v>
      </c>
      <c r="K25" s="254" t="s">
        <v>3</v>
      </c>
      <c r="L25" s="39">
        <v>350</v>
      </c>
      <c r="M25" s="254" t="s">
        <v>3</v>
      </c>
      <c r="N25" s="39">
        <v>350</v>
      </c>
      <c r="O25" s="254" t="s">
        <v>3</v>
      </c>
      <c r="P25" s="39">
        <v>350</v>
      </c>
      <c r="Q25" s="53"/>
      <c r="R25" t="s">
        <v>186</v>
      </c>
    </row>
    <row r="26" spans="1:18" x14ac:dyDescent="0.25">
      <c r="A26" s="56" t="s">
        <v>57</v>
      </c>
      <c r="B26" t="s">
        <v>40</v>
      </c>
      <c r="C26" t="s">
        <v>39</v>
      </c>
      <c r="D26" s="43"/>
      <c r="E26" s="254" t="str">
        <f>[1]Messwerte_Analysenprobe!D20</f>
        <v xml:space="preserve"> </v>
      </c>
      <c r="F26" s="39">
        <v>400</v>
      </c>
      <c r="G26" s="254" t="s">
        <v>3</v>
      </c>
      <c r="H26" s="39">
        <v>400</v>
      </c>
      <c r="I26" s="254" t="s">
        <v>3</v>
      </c>
      <c r="J26" s="39">
        <v>400</v>
      </c>
      <c r="K26" s="254" t="s">
        <v>3</v>
      </c>
      <c r="L26" s="39">
        <v>400</v>
      </c>
      <c r="M26" s="254" t="s">
        <v>3</v>
      </c>
      <c r="N26" s="39">
        <v>400</v>
      </c>
      <c r="O26" s="254" t="s">
        <v>3</v>
      </c>
      <c r="P26" s="39">
        <v>400</v>
      </c>
      <c r="Q26" s="53"/>
      <c r="R26" t="s">
        <v>223</v>
      </c>
    </row>
    <row r="27" spans="1:18" x14ac:dyDescent="0.25">
      <c r="A27" s="56" t="s">
        <v>56</v>
      </c>
      <c r="B27" t="s">
        <v>40</v>
      </c>
      <c r="C27" t="s">
        <v>39</v>
      </c>
      <c r="D27" s="43"/>
      <c r="E27" s="254" t="str">
        <f>[1]Messwerte_Analysenprobe!D21</f>
        <v xml:space="preserve"> </v>
      </c>
      <c r="F27" s="39">
        <v>100</v>
      </c>
      <c r="G27" s="254" t="s">
        <v>3</v>
      </c>
      <c r="H27" s="39">
        <v>100</v>
      </c>
      <c r="I27" s="254" t="s">
        <v>3</v>
      </c>
      <c r="J27" s="39">
        <v>100</v>
      </c>
      <c r="K27" s="254" t="s">
        <v>3</v>
      </c>
      <c r="L27" s="39">
        <v>100</v>
      </c>
      <c r="M27" s="254" t="s">
        <v>3</v>
      </c>
      <c r="N27" s="39">
        <v>100</v>
      </c>
      <c r="O27" s="254" t="s">
        <v>3</v>
      </c>
      <c r="P27" s="39">
        <v>100</v>
      </c>
      <c r="Q27" s="53"/>
      <c r="R27" t="s">
        <v>186</v>
      </c>
    </row>
    <row r="28" spans="1:18" x14ac:dyDescent="0.25">
      <c r="A28" s="56" t="s">
        <v>33</v>
      </c>
      <c r="B28" t="s">
        <v>40</v>
      </c>
      <c r="C28" t="s">
        <v>39</v>
      </c>
      <c r="D28" s="43"/>
      <c r="E28" s="254" t="str">
        <f>[1]Messwerte_Analysenprobe!D22</f>
        <v xml:space="preserve"> </v>
      </c>
      <c r="F28" s="39">
        <v>450</v>
      </c>
      <c r="G28" s="254" t="s">
        <v>3</v>
      </c>
      <c r="H28" s="39">
        <v>450</v>
      </c>
      <c r="I28" s="254" t="s">
        <v>3</v>
      </c>
      <c r="J28" s="39">
        <v>450</v>
      </c>
      <c r="K28" s="254" t="s">
        <v>3</v>
      </c>
      <c r="L28" s="39">
        <v>450</v>
      </c>
      <c r="M28" s="254" t="s">
        <v>3</v>
      </c>
      <c r="N28" s="39">
        <v>450</v>
      </c>
      <c r="O28" s="254" t="s">
        <v>3</v>
      </c>
      <c r="P28" s="39">
        <v>450</v>
      </c>
      <c r="Q28" s="53"/>
      <c r="R28" t="s">
        <v>232</v>
      </c>
    </row>
    <row r="29" spans="1:18" x14ac:dyDescent="0.25">
      <c r="A29" s="56" t="s">
        <v>55</v>
      </c>
      <c r="B29" t="s">
        <v>40</v>
      </c>
      <c r="C29" t="s">
        <v>39</v>
      </c>
      <c r="D29" s="43"/>
      <c r="E29" s="254" t="str">
        <f>[1]Messwerte_Analysenprobe!D23</f>
        <v xml:space="preserve"> </v>
      </c>
      <c r="F29" s="39">
        <v>100</v>
      </c>
      <c r="G29" s="254" t="s">
        <v>3</v>
      </c>
      <c r="H29" s="39">
        <v>100</v>
      </c>
      <c r="I29" s="254" t="s">
        <v>3</v>
      </c>
      <c r="J29" s="39">
        <v>100</v>
      </c>
      <c r="K29" s="254" t="s">
        <v>3</v>
      </c>
      <c r="L29" s="39">
        <v>100</v>
      </c>
      <c r="M29" s="254" t="s">
        <v>3</v>
      </c>
      <c r="N29" s="39">
        <v>100</v>
      </c>
      <c r="O29" s="254" t="s">
        <v>3</v>
      </c>
      <c r="P29" s="39">
        <v>100</v>
      </c>
      <c r="Q29" s="53"/>
      <c r="R29" t="s">
        <v>186</v>
      </c>
    </row>
    <row r="30" spans="1:18" x14ac:dyDescent="0.25">
      <c r="A30" s="56" t="s">
        <v>54</v>
      </c>
      <c r="B30" t="s">
        <v>40</v>
      </c>
      <c r="C30" t="s">
        <v>39</v>
      </c>
      <c r="D30" s="43"/>
      <c r="E30" s="254" t="str">
        <f>[1]Messwerte_Analysenprobe!D24</f>
        <v xml:space="preserve"> </v>
      </c>
      <c r="F30" s="39">
        <v>1250</v>
      </c>
      <c r="G30" s="254" t="s">
        <v>3</v>
      </c>
      <c r="H30" s="39">
        <v>1250</v>
      </c>
      <c r="I30" s="254" t="s">
        <v>3</v>
      </c>
      <c r="J30" s="39">
        <v>1250</v>
      </c>
      <c r="K30" s="254" t="s">
        <v>3</v>
      </c>
      <c r="L30" s="39">
        <v>1250</v>
      </c>
      <c r="M30" s="254" t="s">
        <v>3</v>
      </c>
      <c r="N30" s="39">
        <v>1250</v>
      </c>
      <c r="O30" s="254" t="s">
        <v>3</v>
      </c>
      <c r="P30" s="39">
        <v>1250</v>
      </c>
      <c r="Q30" s="53"/>
      <c r="R30" t="s">
        <v>233</v>
      </c>
    </row>
    <row r="31" spans="1:18" x14ac:dyDescent="0.25">
      <c r="A31" s="56" t="s">
        <v>53</v>
      </c>
      <c r="B31" t="s">
        <v>40</v>
      </c>
      <c r="C31" t="s">
        <v>39</v>
      </c>
      <c r="D31" s="43"/>
      <c r="E31" s="254" t="str">
        <f>[1]Messwerte_Analysenprobe!D25</f>
        <v xml:space="preserve"> </v>
      </c>
      <c r="F31" s="39">
        <v>500</v>
      </c>
      <c r="G31" s="254" t="s">
        <v>3</v>
      </c>
      <c r="H31" s="39">
        <v>500</v>
      </c>
      <c r="I31" s="254" t="s">
        <v>3</v>
      </c>
      <c r="J31" s="39">
        <v>500</v>
      </c>
      <c r="K31" s="254" t="s">
        <v>3</v>
      </c>
      <c r="L31" s="39">
        <v>500</v>
      </c>
      <c r="M31" s="254" t="s">
        <v>3</v>
      </c>
      <c r="N31" s="39">
        <v>500</v>
      </c>
      <c r="O31" s="254" t="s">
        <v>3</v>
      </c>
      <c r="P31" s="39">
        <v>500</v>
      </c>
      <c r="Q31" s="53"/>
      <c r="R31" t="s">
        <v>186</v>
      </c>
    </row>
    <row r="32" spans="1:18" x14ac:dyDescent="0.25">
      <c r="A32" s="56" t="s">
        <v>28</v>
      </c>
      <c r="B32" t="s">
        <v>40</v>
      </c>
      <c r="C32" t="s">
        <v>39</v>
      </c>
      <c r="D32" s="43"/>
      <c r="E32" s="254" t="str">
        <f>[1]Messwerte_Analysenprobe!D26</f>
        <v xml:space="preserve"> </v>
      </c>
      <c r="F32" s="39">
        <v>550</v>
      </c>
      <c r="G32" s="254" t="s">
        <v>3</v>
      </c>
      <c r="H32" s="39">
        <v>550</v>
      </c>
      <c r="I32" s="254" t="s">
        <v>3</v>
      </c>
      <c r="J32" s="39">
        <v>550</v>
      </c>
      <c r="K32" s="254" t="s">
        <v>3</v>
      </c>
      <c r="L32" s="39">
        <v>550</v>
      </c>
      <c r="M32" s="254" t="s">
        <v>3</v>
      </c>
      <c r="N32" s="39">
        <v>550</v>
      </c>
      <c r="O32" s="254" t="s">
        <v>3</v>
      </c>
      <c r="P32" s="39">
        <v>550</v>
      </c>
      <c r="Q32" s="53"/>
      <c r="R32" t="s">
        <v>186</v>
      </c>
    </row>
    <row r="33" spans="1:18" x14ac:dyDescent="0.25">
      <c r="A33" s="56" t="s">
        <v>52</v>
      </c>
      <c r="B33" t="s">
        <v>40</v>
      </c>
      <c r="C33" t="s">
        <v>39</v>
      </c>
      <c r="D33" s="43"/>
      <c r="E33" s="254" t="str">
        <f>[1]Messwerte_Analysenprobe!D27</f>
        <v xml:space="preserve"> </v>
      </c>
      <c r="F33" s="39">
        <v>600</v>
      </c>
      <c r="G33" s="254" t="s">
        <v>3</v>
      </c>
      <c r="H33" s="39">
        <v>600</v>
      </c>
      <c r="I33" s="254" t="s">
        <v>3</v>
      </c>
      <c r="J33" s="39">
        <v>600</v>
      </c>
      <c r="K33" s="254" t="s">
        <v>3</v>
      </c>
      <c r="L33" s="39">
        <v>600</v>
      </c>
      <c r="M33" s="254" t="s">
        <v>3</v>
      </c>
      <c r="N33" s="39">
        <v>600</v>
      </c>
      <c r="O33" s="254" t="s">
        <v>3</v>
      </c>
      <c r="P33" s="39">
        <v>600</v>
      </c>
      <c r="Q33" s="53"/>
      <c r="R33" t="s">
        <v>233</v>
      </c>
    </row>
    <row r="34" spans="1:18" x14ac:dyDescent="0.25">
      <c r="A34" s="56" t="s">
        <v>51</v>
      </c>
      <c r="B34" t="s">
        <v>40</v>
      </c>
      <c r="C34" t="s">
        <v>39</v>
      </c>
      <c r="D34" s="43"/>
      <c r="E34" s="254" t="str">
        <f>[1]Messwerte_Analysenprobe!D28</f>
        <v xml:space="preserve"> </v>
      </c>
      <c r="F34" s="39">
        <v>650</v>
      </c>
      <c r="G34" s="254" t="s">
        <v>3</v>
      </c>
      <c r="H34" s="39">
        <v>650</v>
      </c>
      <c r="I34" s="254" t="s">
        <v>3</v>
      </c>
      <c r="J34" s="39">
        <v>650</v>
      </c>
      <c r="K34" s="254" t="s">
        <v>3</v>
      </c>
      <c r="L34" s="39">
        <v>650</v>
      </c>
      <c r="M34" s="254" t="s">
        <v>3</v>
      </c>
      <c r="N34" s="39">
        <v>650</v>
      </c>
      <c r="O34" s="254" t="s">
        <v>3</v>
      </c>
      <c r="P34" s="39">
        <v>650</v>
      </c>
      <c r="Q34" s="53"/>
      <c r="R34" t="s">
        <v>186</v>
      </c>
    </row>
    <row r="35" spans="1:18" x14ac:dyDescent="0.25">
      <c r="A35" s="56" t="s">
        <v>50</v>
      </c>
      <c r="B35" t="s">
        <v>40</v>
      </c>
      <c r="C35" t="s">
        <v>39</v>
      </c>
      <c r="D35" s="43"/>
      <c r="E35" s="254" t="str">
        <f>[1]Messwerte_Analysenprobe!D29</f>
        <v xml:space="preserve"> </v>
      </c>
      <c r="F35" s="39">
        <v>700</v>
      </c>
      <c r="G35" s="254" t="s">
        <v>3</v>
      </c>
      <c r="H35" s="39">
        <v>700</v>
      </c>
      <c r="I35" s="254" t="s">
        <v>3</v>
      </c>
      <c r="J35" s="39">
        <v>700</v>
      </c>
      <c r="K35" s="254" t="s">
        <v>3</v>
      </c>
      <c r="L35" s="39">
        <v>700</v>
      </c>
      <c r="M35" s="254" t="s">
        <v>3</v>
      </c>
      <c r="N35" s="39">
        <v>700</v>
      </c>
      <c r="O35" s="254" t="s">
        <v>3</v>
      </c>
      <c r="P35" s="39">
        <v>700</v>
      </c>
      <c r="Q35" s="53"/>
      <c r="R35" t="s">
        <v>186</v>
      </c>
    </row>
    <row r="36" spans="1:18" x14ac:dyDescent="0.25">
      <c r="A36" s="56" t="s">
        <v>27</v>
      </c>
      <c r="B36" t="s">
        <v>40</v>
      </c>
      <c r="C36" t="s">
        <v>39</v>
      </c>
      <c r="D36" s="43"/>
      <c r="E36" s="254" t="str">
        <f>[1]Messwerte_Analysenprobe!D30</f>
        <v xml:space="preserve"> </v>
      </c>
      <c r="F36" s="39">
        <v>1250</v>
      </c>
      <c r="G36" s="254" t="s">
        <v>3</v>
      </c>
      <c r="H36" s="39">
        <v>1250</v>
      </c>
      <c r="I36" s="254" t="s">
        <v>3</v>
      </c>
      <c r="J36" s="39">
        <v>1250</v>
      </c>
      <c r="K36" s="254" t="s">
        <v>3</v>
      </c>
      <c r="L36" s="39">
        <v>1250</v>
      </c>
      <c r="M36" s="254" t="s">
        <v>3</v>
      </c>
      <c r="N36" s="39">
        <v>1250</v>
      </c>
      <c r="O36" s="254" t="s">
        <v>3</v>
      </c>
      <c r="P36" s="39">
        <v>1250</v>
      </c>
      <c r="Q36" s="53"/>
      <c r="R36" t="s">
        <v>186</v>
      </c>
    </row>
    <row r="37" spans="1:18" x14ac:dyDescent="0.25">
      <c r="A37" s="56" t="s">
        <v>32</v>
      </c>
      <c r="B37" t="s">
        <v>40</v>
      </c>
      <c r="C37" t="s">
        <v>39</v>
      </c>
      <c r="D37" s="43"/>
      <c r="E37" s="254" t="str">
        <f>[1]Messwerte_Analysenprobe!D31</f>
        <v xml:space="preserve"> </v>
      </c>
      <c r="F37" s="39">
        <v>750</v>
      </c>
      <c r="G37" s="254" t="s">
        <v>3</v>
      </c>
      <c r="H37" s="39">
        <v>750</v>
      </c>
      <c r="I37" s="254" t="s">
        <v>3</v>
      </c>
      <c r="J37" s="39">
        <v>750</v>
      </c>
      <c r="K37" s="254" t="s">
        <v>3</v>
      </c>
      <c r="L37" s="39">
        <v>750</v>
      </c>
      <c r="M37" s="254" t="s">
        <v>3</v>
      </c>
      <c r="N37" s="39">
        <v>750</v>
      </c>
      <c r="O37" s="254" t="s">
        <v>3</v>
      </c>
      <c r="P37" s="39">
        <v>750</v>
      </c>
      <c r="Q37" s="53"/>
      <c r="R37" t="s">
        <v>232</v>
      </c>
    </row>
    <row r="38" spans="1:18" x14ac:dyDescent="0.25">
      <c r="A38" s="56" t="s">
        <v>49</v>
      </c>
      <c r="B38" t="s">
        <v>40</v>
      </c>
      <c r="C38" t="s">
        <v>39</v>
      </c>
      <c r="D38" s="43"/>
      <c r="E38" s="254" t="str">
        <f>[1]Messwerte_Analysenprobe!D32</f>
        <v xml:space="preserve"> </v>
      </c>
      <c r="F38" s="39">
        <v>800</v>
      </c>
      <c r="G38" s="254" t="s">
        <v>3</v>
      </c>
      <c r="H38" s="39">
        <v>800</v>
      </c>
      <c r="I38" s="254" t="s">
        <v>3</v>
      </c>
      <c r="J38" s="39">
        <v>800</v>
      </c>
      <c r="K38" s="254" t="s">
        <v>3</v>
      </c>
      <c r="L38" s="39">
        <v>800</v>
      </c>
      <c r="M38" s="254" t="s">
        <v>3</v>
      </c>
      <c r="N38" s="39">
        <v>800</v>
      </c>
      <c r="O38" s="254" t="s">
        <v>3</v>
      </c>
      <c r="P38" s="39">
        <v>800</v>
      </c>
      <c r="Q38" s="53"/>
      <c r="R38" t="s">
        <v>233</v>
      </c>
    </row>
    <row r="39" spans="1:18" x14ac:dyDescent="0.25">
      <c r="A39" s="56" t="s">
        <v>31</v>
      </c>
      <c r="B39" t="s">
        <v>40</v>
      </c>
      <c r="C39" t="s">
        <v>39</v>
      </c>
      <c r="D39" s="43"/>
      <c r="E39" s="254" t="str">
        <f>[1]Messwerte_Analysenprobe!D33</f>
        <v xml:space="preserve"> </v>
      </c>
      <c r="F39" s="39">
        <v>850</v>
      </c>
      <c r="G39" s="254" t="s">
        <v>3</v>
      </c>
      <c r="H39" s="39">
        <v>850</v>
      </c>
      <c r="I39" s="254" t="s">
        <v>3</v>
      </c>
      <c r="J39" s="39">
        <v>850</v>
      </c>
      <c r="K39" s="254" t="s">
        <v>3</v>
      </c>
      <c r="L39" s="39">
        <v>850</v>
      </c>
      <c r="M39" s="254" t="s">
        <v>3</v>
      </c>
      <c r="N39" s="39">
        <v>850</v>
      </c>
      <c r="O39" s="254" t="s">
        <v>3</v>
      </c>
      <c r="P39" s="39">
        <v>850</v>
      </c>
      <c r="Q39" s="53"/>
      <c r="R39" t="s">
        <v>232</v>
      </c>
    </row>
    <row r="40" spans="1:18" x14ac:dyDescent="0.25">
      <c r="A40" s="56" t="s">
        <v>48</v>
      </c>
      <c r="B40" t="s">
        <v>40</v>
      </c>
      <c r="C40" t="s">
        <v>39</v>
      </c>
      <c r="D40" s="43"/>
      <c r="E40" s="254" t="str">
        <f>[1]Messwerte_Analysenprobe!D34</f>
        <v xml:space="preserve"> </v>
      </c>
      <c r="F40" s="39">
        <v>900</v>
      </c>
      <c r="G40" s="254" t="s">
        <v>3</v>
      </c>
      <c r="H40" s="39">
        <v>900</v>
      </c>
      <c r="I40" s="254" t="s">
        <v>3</v>
      </c>
      <c r="J40" s="39">
        <v>900</v>
      </c>
      <c r="K40" s="254" t="s">
        <v>3</v>
      </c>
      <c r="L40" s="39">
        <v>900</v>
      </c>
      <c r="M40" s="254" t="s">
        <v>3</v>
      </c>
      <c r="N40" s="39">
        <v>900</v>
      </c>
      <c r="O40" s="254" t="s">
        <v>3</v>
      </c>
      <c r="P40" s="39">
        <v>900</v>
      </c>
      <c r="Q40" s="53"/>
      <c r="R40" t="s">
        <v>233</v>
      </c>
    </row>
    <row r="41" spans="1:18" x14ac:dyDescent="0.25">
      <c r="A41" s="56" t="s">
        <v>47</v>
      </c>
      <c r="B41" t="s">
        <v>40</v>
      </c>
      <c r="C41" t="s">
        <v>39</v>
      </c>
      <c r="D41" s="43"/>
      <c r="E41" s="254" t="str">
        <f>[1]Messwerte_Analysenprobe!D35</f>
        <v xml:space="preserve"> </v>
      </c>
      <c r="F41" s="39">
        <v>950</v>
      </c>
      <c r="G41" s="254" t="s">
        <v>3</v>
      </c>
      <c r="H41" s="39">
        <v>950</v>
      </c>
      <c r="I41" s="254" t="s">
        <v>3</v>
      </c>
      <c r="J41" s="39">
        <v>950</v>
      </c>
      <c r="K41" s="254" t="s">
        <v>3</v>
      </c>
      <c r="L41" s="39">
        <v>950</v>
      </c>
      <c r="M41" s="254" t="s">
        <v>3</v>
      </c>
      <c r="N41" s="39">
        <v>950</v>
      </c>
      <c r="O41" s="254" t="s">
        <v>3</v>
      </c>
      <c r="P41" s="39">
        <v>950</v>
      </c>
      <c r="Q41" s="53"/>
      <c r="R41" t="s">
        <v>186</v>
      </c>
    </row>
    <row r="42" spans="1:18" x14ac:dyDescent="0.25">
      <c r="A42" s="56" t="s">
        <v>46</v>
      </c>
      <c r="B42" t="s">
        <v>40</v>
      </c>
      <c r="C42" t="s">
        <v>39</v>
      </c>
      <c r="D42" s="43"/>
      <c r="E42" s="254" t="str">
        <f>[1]Messwerte_Analysenprobe!D36</f>
        <v xml:space="preserve"> </v>
      </c>
      <c r="F42" s="39">
        <v>1000</v>
      </c>
      <c r="G42" s="254" t="s">
        <v>3</v>
      </c>
      <c r="H42" s="39">
        <v>1000</v>
      </c>
      <c r="I42" s="254" t="s">
        <v>3</v>
      </c>
      <c r="J42" s="39">
        <v>1000</v>
      </c>
      <c r="K42" s="254" t="s">
        <v>3</v>
      </c>
      <c r="L42" s="39">
        <v>1000</v>
      </c>
      <c r="M42" s="254" t="s">
        <v>3</v>
      </c>
      <c r="N42" s="39">
        <v>1000</v>
      </c>
      <c r="O42" s="254" t="s">
        <v>3</v>
      </c>
      <c r="P42" s="39">
        <v>1000</v>
      </c>
      <c r="Q42" s="53"/>
      <c r="R42" t="s">
        <v>186</v>
      </c>
    </row>
    <row r="43" spans="1:18" x14ac:dyDescent="0.25">
      <c r="A43" s="56" t="s">
        <v>45</v>
      </c>
      <c r="B43" t="s">
        <v>40</v>
      </c>
      <c r="C43" t="s">
        <v>39</v>
      </c>
      <c r="D43" s="43"/>
      <c r="E43" s="254" t="str">
        <f>[1]Messwerte_Analysenprobe!D37</f>
        <v xml:space="preserve"> </v>
      </c>
      <c r="F43" s="39">
        <v>1050</v>
      </c>
      <c r="G43" s="254" t="s">
        <v>3</v>
      </c>
      <c r="H43" s="39">
        <v>1050</v>
      </c>
      <c r="I43" s="254" t="s">
        <v>3</v>
      </c>
      <c r="J43" s="39">
        <v>1050</v>
      </c>
      <c r="K43" s="254" t="s">
        <v>3</v>
      </c>
      <c r="L43" s="39">
        <v>1050</v>
      </c>
      <c r="M43" s="254" t="s">
        <v>3</v>
      </c>
      <c r="N43" s="39">
        <v>1050</v>
      </c>
      <c r="O43" s="254" t="s">
        <v>3</v>
      </c>
      <c r="P43" s="39">
        <v>1050</v>
      </c>
      <c r="Q43" s="53"/>
      <c r="R43" t="s">
        <v>186</v>
      </c>
    </row>
    <row r="44" spans="1:18" x14ac:dyDescent="0.25">
      <c r="A44" s="56" t="s">
        <v>44</v>
      </c>
      <c r="B44" t="s">
        <v>40</v>
      </c>
      <c r="C44" t="s">
        <v>39</v>
      </c>
      <c r="D44" s="43"/>
      <c r="E44" s="254" t="str">
        <f>[1]Messwerte_Analysenprobe!D38</f>
        <v>&lt;</v>
      </c>
      <c r="F44" s="39">
        <v>5</v>
      </c>
      <c r="G44" s="254" t="s">
        <v>3</v>
      </c>
      <c r="H44" s="39">
        <v>1100</v>
      </c>
      <c r="I44" s="254" t="s">
        <v>3</v>
      </c>
      <c r="J44" s="39">
        <v>1100</v>
      </c>
      <c r="K44" s="254" t="s">
        <v>3</v>
      </c>
      <c r="L44" s="39">
        <v>1100</v>
      </c>
      <c r="M44" s="254" t="s">
        <v>3</v>
      </c>
      <c r="N44" s="39">
        <v>1100</v>
      </c>
      <c r="O44" s="254" t="s">
        <v>3</v>
      </c>
      <c r="P44" s="39">
        <v>1100</v>
      </c>
      <c r="Q44" s="53"/>
      <c r="R44" t="s">
        <v>186</v>
      </c>
    </row>
    <row r="45" spans="1:18" x14ac:dyDescent="0.25">
      <c r="A45" s="56" t="s">
        <v>43</v>
      </c>
      <c r="B45" t="s">
        <v>40</v>
      </c>
      <c r="C45" t="s">
        <v>39</v>
      </c>
      <c r="D45" s="43"/>
      <c r="E45" s="254" t="str">
        <f>[1]Messwerte_Analysenprobe!D39</f>
        <v xml:space="preserve"> </v>
      </c>
      <c r="F45" s="39">
        <v>1150</v>
      </c>
      <c r="G45" s="254" t="s">
        <v>3</v>
      </c>
      <c r="H45" s="39">
        <v>1150</v>
      </c>
      <c r="I45" s="254" t="s">
        <v>3</v>
      </c>
      <c r="J45" s="39">
        <v>1150</v>
      </c>
      <c r="K45" s="254" t="s">
        <v>3</v>
      </c>
      <c r="L45" s="39">
        <v>1150</v>
      </c>
      <c r="M45" s="254" t="s">
        <v>3</v>
      </c>
      <c r="N45" s="39">
        <v>1150</v>
      </c>
      <c r="O45" s="254" t="s">
        <v>3</v>
      </c>
      <c r="P45" s="39">
        <v>1150</v>
      </c>
      <c r="Q45" s="53"/>
      <c r="R45" t="s">
        <v>186</v>
      </c>
    </row>
    <row r="46" spans="1:18" x14ac:dyDescent="0.25">
      <c r="A46" s="56" t="s">
        <v>42</v>
      </c>
      <c r="B46" t="s">
        <v>40</v>
      </c>
      <c r="C46" t="s">
        <v>39</v>
      </c>
      <c r="D46" s="43"/>
      <c r="E46" s="254" t="str">
        <f>[1]Messwerte_Analysenprobe!D40</f>
        <v xml:space="preserve"> </v>
      </c>
      <c r="F46" s="39">
        <v>1200</v>
      </c>
      <c r="G46" s="254" t="s">
        <v>3</v>
      </c>
      <c r="H46" s="39">
        <v>1200</v>
      </c>
      <c r="I46" s="254" t="s">
        <v>3</v>
      </c>
      <c r="J46" s="39">
        <v>1200</v>
      </c>
      <c r="K46" s="254" t="s">
        <v>3</v>
      </c>
      <c r="L46" s="39">
        <v>1200</v>
      </c>
      <c r="M46" s="254" t="s">
        <v>3</v>
      </c>
      <c r="N46" s="39">
        <v>1200</v>
      </c>
      <c r="O46" s="254" t="s">
        <v>3</v>
      </c>
      <c r="P46" s="39">
        <v>1200</v>
      </c>
      <c r="Q46" s="53"/>
      <c r="R46" t="s">
        <v>186</v>
      </c>
    </row>
    <row r="47" spans="1:18" x14ac:dyDescent="0.25">
      <c r="A47" s="56" t="s">
        <v>41</v>
      </c>
      <c r="B47" t="s">
        <v>40</v>
      </c>
      <c r="C47" t="s">
        <v>39</v>
      </c>
      <c r="D47" s="43"/>
      <c r="E47" s="254" t="str">
        <f>[1]Messwerte_Analysenprobe!D41</f>
        <v xml:space="preserve"> </v>
      </c>
      <c r="F47" s="39">
        <v>1250</v>
      </c>
      <c r="G47" s="254" t="s">
        <v>3</v>
      </c>
      <c r="H47" s="39">
        <v>1250</v>
      </c>
      <c r="I47" s="254" t="s">
        <v>3</v>
      </c>
      <c r="J47" s="39">
        <v>1250</v>
      </c>
      <c r="K47" s="254" t="s">
        <v>3</v>
      </c>
      <c r="L47" s="39">
        <v>1250</v>
      </c>
      <c r="M47" s="254" t="s">
        <v>3</v>
      </c>
      <c r="N47" s="39">
        <v>1250</v>
      </c>
      <c r="O47" s="254" t="s">
        <v>3</v>
      </c>
      <c r="P47" s="39">
        <v>1250</v>
      </c>
      <c r="Q47" s="53"/>
      <c r="R47" t="s">
        <v>186</v>
      </c>
    </row>
    <row r="48" spans="1:18" x14ac:dyDescent="0.25">
      <c r="A48" s="56" t="s">
        <v>30</v>
      </c>
      <c r="B48" t="s">
        <v>40</v>
      </c>
      <c r="C48" t="s">
        <v>39</v>
      </c>
      <c r="D48" s="43"/>
      <c r="E48" s="254" t="str">
        <f>[1]Messwerte_Analysenprobe!D42</f>
        <v xml:space="preserve"> </v>
      </c>
      <c r="F48" s="39">
        <v>1250</v>
      </c>
      <c r="G48" s="254" t="s">
        <v>3</v>
      </c>
      <c r="H48" s="39">
        <v>1250</v>
      </c>
      <c r="I48" s="254" t="s">
        <v>3</v>
      </c>
      <c r="J48" s="39">
        <v>1250</v>
      </c>
      <c r="K48" s="254" t="s">
        <v>3</v>
      </c>
      <c r="L48" s="39">
        <v>1250</v>
      </c>
      <c r="M48" s="254" t="s">
        <v>3</v>
      </c>
      <c r="N48" s="39">
        <v>1250</v>
      </c>
      <c r="O48" s="254" t="s">
        <v>3</v>
      </c>
      <c r="P48" s="39">
        <v>1250</v>
      </c>
      <c r="Q48" s="53"/>
      <c r="R48" t="s">
        <v>232</v>
      </c>
    </row>
    <row r="49" spans="1:18" x14ac:dyDescent="0.25">
      <c r="A49" s="56" t="s">
        <v>224</v>
      </c>
      <c r="B49" t="s">
        <v>40</v>
      </c>
      <c r="C49" t="s">
        <v>39</v>
      </c>
      <c r="D49" s="43"/>
      <c r="E49" s="254"/>
      <c r="F49" s="39"/>
      <c r="G49" s="254"/>
      <c r="H49" s="39"/>
      <c r="I49" s="254"/>
      <c r="J49" s="39"/>
      <c r="K49" s="254"/>
      <c r="L49" s="39"/>
      <c r="M49" s="254"/>
      <c r="N49" s="39"/>
      <c r="O49" s="254"/>
      <c r="P49" s="39"/>
      <c r="Q49" s="53"/>
      <c r="R49" t="s">
        <v>233</v>
      </c>
    </row>
    <row r="50" spans="1:18" x14ac:dyDescent="0.25">
      <c r="D50" s="43"/>
      <c r="E50" s="254"/>
      <c r="F50" s="39"/>
      <c r="G50" s="254"/>
      <c r="H50" s="39"/>
      <c r="I50" s="254"/>
      <c r="J50" s="39"/>
      <c r="K50" s="254"/>
      <c r="L50" s="39"/>
      <c r="M50" s="254"/>
      <c r="N50" s="39"/>
      <c r="O50" s="254"/>
      <c r="P50" s="39"/>
      <c r="Q50" s="53"/>
    </row>
    <row r="51" spans="1:18" x14ac:dyDescent="0.25">
      <c r="A51" s="71" t="s">
        <v>38</v>
      </c>
      <c r="E51" s="254"/>
      <c r="F51" s="39"/>
      <c r="G51" s="51"/>
      <c r="H51" s="39"/>
      <c r="I51" s="51"/>
      <c r="J51" s="39"/>
      <c r="K51" s="51"/>
      <c r="L51" s="39"/>
      <c r="M51" s="51"/>
      <c r="N51" s="39"/>
      <c r="O51" s="51"/>
      <c r="P51" s="39"/>
      <c r="Q51" s="9"/>
    </row>
    <row r="52" spans="1:18" x14ac:dyDescent="0.25">
      <c r="A52" s="56" t="s">
        <v>37</v>
      </c>
      <c r="B52" t="s">
        <v>37</v>
      </c>
      <c r="C52" t="s">
        <v>38</v>
      </c>
      <c r="D52" s="43"/>
      <c r="E52" s="254"/>
      <c r="F52" s="50" t="s">
        <v>248</v>
      </c>
      <c r="G52" s="51"/>
      <c r="H52" s="50" t="s">
        <v>248</v>
      </c>
      <c r="I52" s="51"/>
      <c r="J52" s="50" t="s">
        <v>248</v>
      </c>
      <c r="K52" s="51"/>
      <c r="L52" s="50" t="s">
        <v>248</v>
      </c>
      <c r="M52" s="51"/>
      <c r="N52" s="50" t="s">
        <v>248</v>
      </c>
      <c r="O52" s="51"/>
      <c r="P52" s="50" t="s">
        <v>248</v>
      </c>
      <c r="Q52" s="9"/>
      <c r="R52" t="s">
        <v>232</v>
      </c>
    </row>
    <row r="53" spans="1:18" x14ac:dyDescent="0.25">
      <c r="A53" s="56" t="s">
        <v>35</v>
      </c>
      <c r="B53" t="s">
        <v>35</v>
      </c>
      <c r="C53" t="s">
        <v>38</v>
      </c>
      <c r="D53" s="43"/>
      <c r="E53" s="2"/>
      <c r="F53" s="50" t="s">
        <v>248</v>
      </c>
      <c r="G53" s="51"/>
      <c r="H53" s="50" t="s">
        <v>248</v>
      </c>
      <c r="I53" s="51"/>
      <c r="J53" s="50" t="s">
        <v>248</v>
      </c>
      <c r="K53" s="51"/>
      <c r="L53" s="50" t="s">
        <v>248</v>
      </c>
      <c r="M53" s="51"/>
      <c r="N53" s="50" t="s">
        <v>248</v>
      </c>
      <c r="O53" s="51"/>
      <c r="P53" s="50" t="s">
        <v>248</v>
      </c>
      <c r="Q53" s="9"/>
      <c r="R53" t="s">
        <v>234</v>
      </c>
    </row>
    <row r="54" spans="1:18" x14ac:dyDescent="0.25">
      <c r="A54" s="56"/>
      <c r="E54" s="2"/>
      <c r="F54" s="50"/>
      <c r="G54" s="51"/>
      <c r="H54" s="50"/>
      <c r="I54" s="51"/>
      <c r="J54" s="50"/>
      <c r="K54" s="51"/>
      <c r="L54" s="50"/>
      <c r="M54" s="51"/>
      <c r="N54" s="50"/>
      <c r="O54" s="51"/>
      <c r="P54" s="39"/>
      <c r="Q54" s="9"/>
    </row>
    <row r="55" spans="1:18" x14ac:dyDescent="0.25">
      <c r="A55" s="56" t="s">
        <v>29</v>
      </c>
      <c r="B55" t="s">
        <v>25</v>
      </c>
      <c r="C55" s="4" t="s">
        <v>26</v>
      </c>
      <c r="D55" s="43"/>
      <c r="E55" s="51" t="str">
        <f>[1]Messwerte_Analysenprobe!D65</f>
        <v xml:space="preserve"> </v>
      </c>
      <c r="F55" s="50">
        <v>20</v>
      </c>
      <c r="G55" s="51" t="s">
        <v>3</v>
      </c>
      <c r="H55" s="50">
        <v>20</v>
      </c>
      <c r="I55" s="51" t="s">
        <v>3</v>
      </c>
      <c r="J55" s="50">
        <v>20</v>
      </c>
      <c r="K55" s="51" t="s">
        <v>3</v>
      </c>
      <c r="L55" s="50">
        <v>20</v>
      </c>
      <c r="M55" s="51" t="s">
        <v>3</v>
      </c>
      <c r="N55" s="50">
        <v>20</v>
      </c>
      <c r="O55" s="51" t="s">
        <v>3</v>
      </c>
      <c r="P55" s="50">
        <v>100</v>
      </c>
      <c r="Q55" s="42"/>
      <c r="R55" t="s">
        <v>235</v>
      </c>
    </row>
    <row r="56" spans="1:18" x14ac:dyDescent="0.25">
      <c r="A56" s="56" t="s">
        <v>33</v>
      </c>
      <c r="B56" t="s">
        <v>25</v>
      </c>
      <c r="C56" s="4" t="s">
        <v>26</v>
      </c>
      <c r="D56" s="43"/>
      <c r="E56" s="51" t="str">
        <f>[1]Messwerte_Analysenprobe!D72</f>
        <v xml:space="preserve"> </v>
      </c>
      <c r="F56" s="50">
        <v>1.4537636700000001</v>
      </c>
      <c r="G56" s="51" t="s">
        <v>3</v>
      </c>
      <c r="H56" s="50">
        <v>1</v>
      </c>
      <c r="I56" s="51" t="s">
        <v>3</v>
      </c>
      <c r="J56" s="50">
        <v>1</v>
      </c>
      <c r="K56" s="51" t="s">
        <v>3</v>
      </c>
      <c r="L56" s="50">
        <v>1</v>
      </c>
      <c r="M56" s="51" t="s">
        <v>3</v>
      </c>
      <c r="N56" s="50">
        <v>1.4537636700000001</v>
      </c>
      <c r="O56" s="51" t="s">
        <v>3</v>
      </c>
      <c r="P56" s="50">
        <v>1</v>
      </c>
      <c r="R56" t="s">
        <v>232</v>
      </c>
    </row>
    <row r="57" spans="1:18" x14ac:dyDescent="0.25">
      <c r="A57" s="56" t="s">
        <v>28</v>
      </c>
      <c r="B57" t="s">
        <v>25</v>
      </c>
      <c r="C57" s="4" t="s">
        <v>26</v>
      </c>
      <c r="D57" s="43"/>
      <c r="E57" s="51" t="str">
        <f>[1]Messwerte_Analysenprobe!D75</f>
        <v xml:space="preserve"> </v>
      </c>
      <c r="F57" s="50">
        <v>20</v>
      </c>
      <c r="G57" s="51"/>
      <c r="H57" s="50">
        <v>20</v>
      </c>
      <c r="I57" s="51" t="s">
        <v>3</v>
      </c>
      <c r="J57" s="50">
        <v>20</v>
      </c>
      <c r="K57" s="51" t="s">
        <v>3</v>
      </c>
      <c r="L57" s="50">
        <v>20</v>
      </c>
      <c r="M57" s="51" t="s">
        <v>3</v>
      </c>
      <c r="N57" s="50">
        <v>20</v>
      </c>
      <c r="O57" s="51"/>
      <c r="P57" s="50">
        <v>100</v>
      </c>
      <c r="Q57" s="9"/>
      <c r="R57" t="s">
        <v>235</v>
      </c>
    </row>
    <row r="58" spans="1:18" x14ac:dyDescent="0.25">
      <c r="A58" s="56" t="s">
        <v>27</v>
      </c>
      <c r="B58" t="s">
        <v>25</v>
      </c>
      <c r="C58" s="4" t="s">
        <v>26</v>
      </c>
      <c r="D58" s="43"/>
      <c r="E58" s="51" t="str">
        <f>[1]Messwerte_Analysenprobe!D76</f>
        <v xml:space="preserve"> </v>
      </c>
      <c r="F58" s="50">
        <v>20</v>
      </c>
      <c r="G58" s="51" t="s">
        <v>3</v>
      </c>
      <c r="H58" s="50">
        <v>20</v>
      </c>
      <c r="I58" s="51" t="s">
        <v>3</v>
      </c>
      <c r="J58" s="50">
        <v>20</v>
      </c>
      <c r="K58" s="51" t="s">
        <v>3</v>
      </c>
      <c r="L58" s="50">
        <v>20</v>
      </c>
      <c r="M58" s="51" t="s">
        <v>3</v>
      </c>
      <c r="N58" s="50">
        <v>20</v>
      </c>
      <c r="O58" s="51" t="s">
        <v>3</v>
      </c>
      <c r="P58" s="50">
        <v>100</v>
      </c>
      <c r="Q58" s="42"/>
      <c r="R58" t="s">
        <v>235</v>
      </c>
    </row>
    <row r="59" spans="1:18" x14ac:dyDescent="0.25">
      <c r="A59" s="56" t="s">
        <v>32</v>
      </c>
      <c r="B59" t="s">
        <v>25</v>
      </c>
      <c r="C59" s="4" t="s">
        <v>26</v>
      </c>
      <c r="D59" s="43"/>
      <c r="E59" s="51" t="str">
        <f>[1]Messwerte_Analysenprobe!D77</f>
        <v xml:space="preserve"> </v>
      </c>
      <c r="F59" s="50">
        <v>1</v>
      </c>
      <c r="G59" s="51" t="s">
        <v>3</v>
      </c>
      <c r="H59" s="50">
        <v>1.4537636700000001</v>
      </c>
      <c r="I59" s="51" t="s">
        <v>3</v>
      </c>
      <c r="J59" s="50">
        <v>1</v>
      </c>
      <c r="K59" s="51" t="s">
        <v>3</v>
      </c>
      <c r="L59" s="50">
        <v>1</v>
      </c>
      <c r="M59" s="51" t="s">
        <v>3</v>
      </c>
      <c r="N59" s="50">
        <v>1</v>
      </c>
      <c r="O59" s="51" t="s">
        <v>3</v>
      </c>
      <c r="P59" s="50">
        <v>1.4537636700000001</v>
      </c>
      <c r="Q59" s="25"/>
      <c r="R59" t="s">
        <v>232</v>
      </c>
    </row>
    <row r="60" spans="1:18" x14ac:dyDescent="0.25">
      <c r="A60" s="56" t="s">
        <v>31</v>
      </c>
      <c r="B60" t="s">
        <v>25</v>
      </c>
      <c r="C60" s="4" t="s">
        <v>26</v>
      </c>
      <c r="D60" s="43"/>
      <c r="E60" s="51" t="str">
        <f>[1]Messwerte_Analysenprobe!D83</f>
        <v xml:space="preserve"> </v>
      </c>
      <c r="F60" s="50">
        <v>1</v>
      </c>
      <c r="G60" s="51" t="s">
        <v>3</v>
      </c>
      <c r="H60" s="50">
        <v>1</v>
      </c>
      <c r="I60" s="51" t="s">
        <v>3</v>
      </c>
      <c r="J60" s="50">
        <v>1.4537636700000001</v>
      </c>
      <c r="K60" s="51" t="s">
        <v>3</v>
      </c>
      <c r="L60" s="50">
        <v>1</v>
      </c>
      <c r="M60" s="51" t="s">
        <v>3</v>
      </c>
      <c r="N60" s="50">
        <v>1</v>
      </c>
      <c r="O60" s="51" t="s">
        <v>3</v>
      </c>
      <c r="P60" s="50">
        <v>1</v>
      </c>
      <c r="Q60" s="42"/>
      <c r="R60" t="s">
        <v>232</v>
      </c>
    </row>
    <row r="61" spans="1:18" x14ac:dyDescent="0.25">
      <c r="A61" s="56" t="s">
        <v>30</v>
      </c>
      <c r="B61" t="s">
        <v>25</v>
      </c>
      <c r="C61" s="4" t="s">
        <v>26</v>
      </c>
      <c r="D61" s="43"/>
      <c r="E61" s="51" t="str">
        <f>[1]Messwerte_Analysenprobe!D84</f>
        <v xml:space="preserve"> </v>
      </c>
      <c r="F61" s="50">
        <v>1</v>
      </c>
      <c r="G61" s="51" t="s">
        <v>3</v>
      </c>
      <c r="H61" s="50">
        <v>1</v>
      </c>
      <c r="I61" s="51" t="s">
        <v>3</v>
      </c>
      <c r="J61" s="50">
        <v>1</v>
      </c>
      <c r="K61" s="51" t="s">
        <v>3</v>
      </c>
      <c r="L61" s="50">
        <v>1.4537636700000001</v>
      </c>
      <c r="M61" s="51" t="s">
        <v>3</v>
      </c>
      <c r="N61" s="50">
        <v>1</v>
      </c>
      <c r="O61" s="51" t="s">
        <v>3</v>
      </c>
      <c r="P61" s="50">
        <v>1</v>
      </c>
      <c r="Q61" s="25"/>
      <c r="R61" t="s">
        <v>232</v>
      </c>
    </row>
    <row r="62" spans="1:18" x14ac:dyDescent="0.25">
      <c r="C62" s="4"/>
      <c r="D62" s="43"/>
      <c r="E62" s="51"/>
      <c r="F62" s="50"/>
      <c r="G62" s="51"/>
      <c r="H62" s="50"/>
      <c r="I62" s="51"/>
      <c r="J62" s="50"/>
      <c r="K62" s="51"/>
      <c r="L62" s="50"/>
      <c r="M62" s="51"/>
      <c r="N62" s="50"/>
      <c r="O62" s="51"/>
      <c r="P62" s="50"/>
      <c r="Q62" s="42"/>
    </row>
    <row r="63" spans="1:18" x14ac:dyDescent="0.25">
      <c r="A63" s="71" t="s">
        <v>216</v>
      </c>
      <c r="E63" s="2"/>
      <c r="F63" s="49"/>
      <c r="G63" s="11"/>
      <c r="H63" s="49"/>
      <c r="I63" s="11"/>
      <c r="J63" s="49"/>
      <c r="K63" s="11"/>
      <c r="L63" s="49"/>
      <c r="M63" s="11"/>
      <c r="N63" s="49"/>
      <c r="O63" s="11"/>
      <c r="P63" s="49"/>
      <c r="Q63" s="4"/>
    </row>
    <row r="64" spans="1:18" x14ac:dyDescent="0.25">
      <c r="A64" s="56" t="s">
        <v>213</v>
      </c>
      <c r="B64" t="s">
        <v>210</v>
      </c>
      <c r="C64" t="s">
        <v>211</v>
      </c>
      <c r="E64" s="2"/>
      <c r="F64" s="49"/>
      <c r="G64" s="11"/>
      <c r="H64" s="49"/>
      <c r="I64" s="11"/>
      <c r="J64" s="49"/>
      <c r="K64" s="11"/>
      <c r="L64" s="49"/>
      <c r="M64" s="11"/>
      <c r="N64" s="49"/>
      <c r="O64" s="11"/>
      <c r="P64" s="49"/>
      <c r="Q64" s="4"/>
      <c r="R64" t="s">
        <v>233</v>
      </c>
    </row>
    <row r="65" spans="1:18" x14ac:dyDescent="0.25">
      <c r="A65" s="56" t="s">
        <v>214</v>
      </c>
      <c r="B65" t="s">
        <v>210</v>
      </c>
      <c r="C65" t="s">
        <v>211</v>
      </c>
      <c r="E65" s="2"/>
      <c r="F65" s="49"/>
      <c r="G65" s="11"/>
      <c r="H65" s="49"/>
      <c r="I65" s="11"/>
      <c r="J65" s="49"/>
      <c r="K65" s="11"/>
      <c r="L65" s="49"/>
      <c r="M65" s="11"/>
      <c r="N65" s="49"/>
      <c r="O65" s="11"/>
      <c r="P65" s="49"/>
      <c r="Q65" s="4"/>
      <c r="R65" t="s">
        <v>237</v>
      </c>
    </row>
    <row r="66" spans="1:18" x14ac:dyDescent="0.25">
      <c r="A66" s="56" t="s">
        <v>24</v>
      </c>
      <c r="B66" t="s">
        <v>210</v>
      </c>
      <c r="C66" t="s">
        <v>211</v>
      </c>
      <c r="D66" s="43"/>
      <c r="E66" s="51" t="str">
        <f>[1]Messwerte_Analysenprobe!D50</f>
        <v xml:space="preserve"> </v>
      </c>
      <c r="F66" s="255">
        <v>16000</v>
      </c>
      <c r="G66" s="51" t="s">
        <v>3</v>
      </c>
      <c r="H66" s="255">
        <v>130000</v>
      </c>
      <c r="I66" s="51" t="s">
        <v>3</v>
      </c>
      <c r="J66" s="255">
        <v>130000</v>
      </c>
      <c r="K66" s="51" t="s">
        <v>3</v>
      </c>
      <c r="L66" s="255">
        <v>130000</v>
      </c>
      <c r="M66" s="51" t="s">
        <v>3</v>
      </c>
      <c r="N66" s="255">
        <v>130000</v>
      </c>
      <c r="O66" s="51" t="s">
        <v>3</v>
      </c>
      <c r="P66" s="255">
        <v>130000</v>
      </c>
      <c r="Q66" s="42"/>
      <c r="R66" t="s">
        <v>142</v>
      </c>
    </row>
    <row r="67" spans="1:18" x14ac:dyDescent="0.25">
      <c r="A67" s="56" t="s">
        <v>215</v>
      </c>
      <c r="B67" t="s">
        <v>210</v>
      </c>
      <c r="C67" t="s">
        <v>211</v>
      </c>
      <c r="D67" s="43"/>
      <c r="E67" s="51"/>
      <c r="F67" s="255"/>
      <c r="G67" s="51"/>
      <c r="H67" s="255"/>
      <c r="I67" s="51"/>
      <c r="J67" s="255"/>
      <c r="K67" s="51"/>
      <c r="L67" s="255"/>
      <c r="M67" s="51"/>
      <c r="N67" s="255"/>
      <c r="O67" s="51"/>
      <c r="P67" s="255"/>
      <c r="Q67" s="42"/>
      <c r="R67" t="s">
        <v>238</v>
      </c>
    </row>
    <row r="68" spans="1:18" x14ac:dyDescent="0.25">
      <c r="A68" s="56" t="s">
        <v>23</v>
      </c>
      <c r="B68" t="s">
        <v>210</v>
      </c>
      <c r="C68" t="s">
        <v>211</v>
      </c>
      <c r="D68" s="43"/>
      <c r="E68" s="51" t="str">
        <f>[1]Messwerte_Analysenprobe!D52</f>
        <v xml:space="preserve"> </v>
      </c>
      <c r="F68" s="255">
        <v>24000</v>
      </c>
      <c r="G68" s="51" t="s">
        <v>3</v>
      </c>
      <c r="H68" s="255">
        <v>150000</v>
      </c>
      <c r="I68" s="51" t="s">
        <v>3</v>
      </c>
      <c r="J68" s="255">
        <v>150000</v>
      </c>
      <c r="K68" s="51" t="s">
        <v>3</v>
      </c>
      <c r="L68" s="255">
        <v>150000</v>
      </c>
      <c r="M68" s="51" t="s">
        <v>3</v>
      </c>
      <c r="N68" s="255">
        <v>150000</v>
      </c>
      <c r="O68" s="51" t="s">
        <v>3</v>
      </c>
      <c r="P68" s="255">
        <v>150000</v>
      </c>
      <c r="Q68" s="42"/>
      <c r="R68" t="s">
        <v>236</v>
      </c>
    </row>
    <row r="69" spans="1:18" x14ac:dyDescent="0.25">
      <c r="A69" s="56" t="s">
        <v>22</v>
      </c>
      <c r="B69" t="s">
        <v>210</v>
      </c>
      <c r="C69" t="s">
        <v>211</v>
      </c>
      <c r="D69" s="43"/>
      <c r="E69" s="51" t="str">
        <f>[1]Messwerte_Analysenprobe!D53</f>
        <v xml:space="preserve"> </v>
      </c>
      <c r="F69" s="255">
        <v>28000</v>
      </c>
      <c r="G69" s="51" t="s">
        <v>3</v>
      </c>
      <c r="H69" s="255">
        <v>160000</v>
      </c>
      <c r="I69" s="51" t="s">
        <v>3</v>
      </c>
      <c r="J69" s="255">
        <v>160000</v>
      </c>
      <c r="K69" s="51" t="s">
        <v>3</v>
      </c>
      <c r="L69" s="255">
        <v>160000</v>
      </c>
      <c r="M69" s="51" t="s">
        <v>3</v>
      </c>
      <c r="N69" s="255">
        <v>160000</v>
      </c>
      <c r="O69" s="51" t="s">
        <v>3</v>
      </c>
      <c r="P69" s="255">
        <v>160000</v>
      </c>
      <c r="Q69" s="42"/>
      <c r="R69" t="s">
        <v>232</v>
      </c>
    </row>
    <row r="70" spans="1:18" x14ac:dyDescent="0.25">
      <c r="A70" s="56" t="s">
        <v>21</v>
      </c>
      <c r="B70" t="s">
        <v>210</v>
      </c>
      <c r="C70" t="s">
        <v>211</v>
      </c>
      <c r="D70" s="43"/>
      <c r="E70" s="51" t="str">
        <f>[1]Messwerte_Analysenprobe!D54</f>
        <v xml:space="preserve"> </v>
      </c>
      <c r="F70" s="255">
        <v>32000</v>
      </c>
      <c r="G70" s="51" t="s">
        <v>3</v>
      </c>
      <c r="H70" s="255">
        <v>170000</v>
      </c>
      <c r="I70" s="51" t="s">
        <v>3</v>
      </c>
      <c r="J70" s="255">
        <v>170000</v>
      </c>
      <c r="K70" s="51" t="s">
        <v>3</v>
      </c>
      <c r="L70" s="255">
        <v>170000</v>
      </c>
      <c r="M70" s="51" t="s">
        <v>3</v>
      </c>
      <c r="N70" s="255">
        <v>170000</v>
      </c>
      <c r="O70" s="51" t="s">
        <v>3</v>
      </c>
      <c r="P70" s="255">
        <v>170000</v>
      </c>
      <c r="Q70" s="42"/>
      <c r="R70" t="s">
        <v>232</v>
      </c>
    </row>
    <row r="71" spans="1:18" x14ac:dyDescent="0.25">
      <c r="A71" s="56" t="s">
        <v>212</v>
      </c>
      <c r="B71" t="s">
        <v>210</v>
      </c>
      <c r="C71" t="s">
        <v>211</v>
      </c>
      <c r="E71" s="256"/>
      <c r="F71" s="257"/>
      <c r="G71" s="256"/>
      <c r="H71" s="257"/>
      <c r="I71" s="256"/>
      <c r="J71" s="262"/>
      <c r="K71" s="256"/>
      <c r="L71" s="257"/>
      <c r="M71" s="256"/>
      <c r="N71" s="257"/>
      <c r="O71" s="256"/>
      <c r="P71" s="257"/>
      <c r="Q71" s="4"/>
      <c r="R71" t="s">
        <v>239</v>
      </c>
    </row>
    <row r="72" spans="1:18" x14ac:dyDescent="0.25">
      <c r="F72" s="4"/>
      <c r="G72" s="4"/>
      <c r="H72" s="4"/>
      <c r="I72" s="4"/>
      <c r="J72" s="4"/>
      <c r="K72" s="4"/>
      <c r="L72" s="4"/>
      <c r="M72" s="4"/>
      <c r="N72" s="4"/>
      <c r="O72" s="4"/>
      <c r="P72" s="4"/>
      <c r="Q72" s="4"/>
    </row>
    <row r="73" spans="1:18" x14ac:dyDescent="0.25">
      <c r="F73" s="9"/>
      <c r="G73" s="8"/>
      <c r="H73" s="9"/>
      <c r="I73" s="8"/>
      <c r="J73" s="9"/>
      <c r="K73" s="8"/>
      <c r="L73" s="9"/>
      <c r="M73" s="8"/>
      <c r="N73" s="9"/>
      <c r="O73" s="8"/>
      <c r="P73" s="9"/>
      <c r="Q73" s="8"/>
    </row>
    <row r="74" spans="1:18" x14ac:dyDescent="0.25">
      <c r="A74" s="2"/>
    </row>
    <row r="75" spans="1:18" x14ac:dyDescent="0.25">
      <c r="A75" s="22"/>
      <c r="F75" s="52"/>
      <c r="G75" s="25"/>
      <c r="H75" s="52"/>
      <c r="I75" s="25"/>
      <c r="J75" s="52"/>
      <c r="K75" s="25"/>
      <c r="L75" s="52"/>
      <c r="M75" s="25"/>
      <c r="N75" s="52"/>
      <c r="O75" s="25"/>
      <c r="P75" s="52"/>
    </row>
    <row r="76" spans="1:18" ht="13.8" x14ac:dyDescent="0.25">
      <c r="A76" s="22"/>
      <c r="F76" s="52"/>
      <c r="H76" s="52"/>
      <c r="J76" s="52"/>
      <c r="L76" s="52"/>
      <c r="N76" s="52"/>
      <c r="P76" s="52"/>
      <c r="Q76" s="13"/>
    </row>
    <row r="77" spans="1:18" ht="13.8" x14ac:dyDescent="0.25">
      <c r="A77" s="22"/>
      <c r="F77" s="52"/>
      <c r="G77" s="23"/>
      <c r="H77" s="52"/>
      <c r="J77" s="52"/>
      <c r="L77" s="52"/>
      <c r="N77" s="52"/>
      <c r="O77" s="23"/>
      <c r="P77" s="52"/>
      <c r="Q77" s="13"/>
    </row>
    <row r="78" spans="1:18" ht="13.8" x14ac:dyDescent="0.25">
      <c r="A78" s="22"/>
      <c r="F78" s="52"/>
      <c r="G78" s="4"/>
      <c r="H78" s="52"/>
      <c r="I78" s="4"/>
      <c r="J78" s="52"/>
      <c r="L78" s="52"/>
      <c r="M78" s="4"/>
      <c r="N78" s="52"/>
      <c r="O78" s="4"/>
      <c r="P78" s="52"/>
      <c r="Q78" s="13"/>
    </row>
    <row r="79" spans="1:18" ht="13.8" x14ac:dyDescent="0.25">
      <c r="A79" s="2"/>
      <c r="F79" s="13"/>
      <c r="G79" s="13"/>
      <c r="H79" s="13"/>
      <c r="I79" s="4"/>
      <c r="J79" s="13"/>
      <c r="K79" s="4"/>
      <c r="L79" s="13"/>
      <c r="N79" s="13"/>
      <c r="O79" s="13"/>
      <c r="P79" s="13"/>
      <c r="Q79" s="13"/>
    </row>
    <row r="80" spans="1:18" x14ac:dyDescent="0.25">
      <c r="A80" s="22"/>
      <c r="F80" s="52"/>
      <c r="G80" s="25"/>
      <c r="H80" s="52"/>
      <c r="I80" s="25"/>
      <c r="J80" s="52"/>
      <c r="K80" s="25"/>
      <c r="L80" s="52"/>
      <c r="M80" s="25"/>
      <c r="N80" s="52"/>
      <c r="O80" s="25"/>
      <c r="P80" s="52"/>
      <c r="Q80" s="25"/>
    </row>
    <row r="81" spans="1:17" x14ac:dyDescent="0.25">
      <c r="A81" s="22"/>
      <c r="F81" s="52"/>
      <c r="H81" s="52"/>
      <c r="J81" s="52"/>
      <c r="L81" s="52"/>
      <c r="N81" s="52"/>
      <c r="P81" s="52"/>
    </row>
    <row r="82" spans="1:17" x14ac:dyDescent="0.25">
      <c r="A82" s="22"/>
      <c r="F82" s="52"/>
      <c r="G82" s="23"/>
      <c r="H82" s="52"/>
      <c r="J82" s="52"/>
      <c r="L82" s="52"/>
      <c r="N82" s="52"/>
      <c r="O82" s="23"/>
      <c r="P82" s="52"/>
      <c r="Q82" s="23"/>
    </row>
    <row r="83" spans="1:17" x14ac:dyDescent="0.25">
      <c r="A83" s="22"/>
      <c r="F83" s="52"/>
      <c r="G83" s="4"/>
      <c r="H83" s="52"/>
      <c r="I83" s="4"/>
      <c r="J83" s="52"/>
      <c r="L83" s="52"/>
      <c r="M83" s="4"/>
      <c r="N83" s="52"/>
      <c r="O83" s="4"/>
      <c r="P83" s="52"/>
      <c r="Q83" s="4"/>
    </row>
    <row r="84" spans="1:17" x14ac:dyDescent="0.25">
      <c r="A84" s="18"/>
      <c r="F84" s="17"/>
      <c r="G84" s="17"/>
      <c r="N84" s="17"/>
      <c r="O84" s="17"/>
      <c r="P84" s="17"/>
      <c r="Q84" s="17"/>
    </row>
    <row r="85" spans="1:17" x14ac:dyDescent="0.25">
      <c r="F85" s="17"/>
      <c r="G85" s="17"/>
      <c r="N85" s="17"/>
      <c r="O85" s="17"/>
      <c r="P85" s="17"/>
      <c r="Q85" s="17"/>
    </row>
    <row r="87" spans="1:17" x14ac:dyDescent="0.25">
      <c r="F87" s="4"/>
    </row>
    <row r="90" spans="1:17" ht="13.8" x14ac:dyDescent="0.25">
      <c r="F90" s="13"/>
      <c r="G90" s="13"/>
      <c r="N90" s="13"/>
      <c r="O90" s="13"/>
      <c r="P90" s="13"/>
      <c r="Q90" s="13"/>
    </row>
    <row r="91" spans="1:17" x14ac:dyDescent="0.25">
      <c r="F91" s="4"/>
      <c r="H91" s="4"/>
      <c r="J91" s="4"/>
      <c r="L91" s="4"/>
      <c r="N91" s="4"/>
      <c r="O91" s="4"/>
      <c r="P91" s="4"/>
      <c r="Q91" s="4"/>
    </row>
    <row r="101" spans="6:17" x14ac:dyDescent="0.25">
      <c r="F101" s="4"/>
      <c r="G101" s="4"/>
      <c r="H101" s="4"/>
      <c r="I101" s="4"/>
      <c r="J101" s="4"/>
      <c r="K101" s="4"/>
      <c r="L101" s="4"/>
      <c r="M101" s="4"/>
      <c r="N101" s="4"/>
      <c r="O101" s="4"/>
      <c r="P101" s="4"/>
      <c r="Q101" s="4"/>
    </row>
  </sheetData>
  <mergeCells count="12">
    <mergeCell ref="O3:P3"/>
    <mergeCell ref="O4:P4"/>
    <mergeCell ref="I3:J3"/>
    <mergeCell ref="I4:J4"/>
    <mergeCell ref="K3:L3"/>
    <mergeCell ref="K4:L4"/>
    <mergeCell ref="M3:N3"/>
    <mergeCell ref="M4:N4"/>
    <mergeCell ref="E3:F3"/>
    <mergeCell ref="E4:F4"/>
    <mergeCell ref="G3:H3"/>
    <mergeCell ref="G4:H4"/>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14C85-2AEC-4BFB-B47E-8D54E7221BBB}">
  <dimension ref="A1:BJ99"/>
  <sheetViews>
    <sheetView workbookViewId="0">
      <pane xSplit="18" ySplit="3" topLeftCell="S4" activePane="bottomRight" state="frozen"/>
      <selection pane="topRight" activeCell="S1" sqref="S1"/>
      <selection pane="bottomLeft" activeCell="A4" sqref="A4"/>
      <selection pane="bottomRight" activeCell="AH8" sqref="AH8"/>
    </sheetView>
  </sheetViews>
  <sheetFormatPr baseColWidth="10" defaultRowHeight="13.2" outlineLevelCol="1" x14ac:dyDescent="0.25"/>
  <cols>
    <col min="1" max="1" width="8" customWidth="1"/>
    <col min="3" max="3" width="4.6640625" customWidth="1"/>
    <col min="5" max="5" width="16.33203125" customWidth="1"/>
    <col min="6" max="6" width="1" customWidth="1"/>
    <col min="7" max="7" width="11.44140625" hidden="1" customWidth="1"/>
    <col min="8" max="17" width="0" hidden="1" customWidth="1"/>
    <col min="18" max="18" width="7.6640625" style="3" customWidth="1"/>
    <col min="19" max="19" width="24.6640625" bestFit="1" customWidth="1"/>
    <col min="20" max="20" width="11.88671875" customWidth="1"/>
    <col min="21" max="21" width="5.109375" customWidth="1"/>
    <col min="22" max="22" width="10.44140625" style="3" customWidth="1"/>
    <col min="23" max="23" width="6.44140625" style="3" customWidth="1"/>
    <col min="24" max="24" width="10.44140625" style="3" customWidth="1"/>
    <col min="25" max="25" width="5.5546875" style="3" customWidth="1"/>
    <col min="26" max="26" width="10.44140625" style="3" customWidth="1"/>
    <col min="27" max="27" width="5.88671875" style="3" customWidth="1"/>
    <col min="28" max="28" width="10.44140625" style="3" customWidth="1"/>
    <col min="29" max="29" width="6.33203125" style="3" customWidth="1"/>
    <col min="30" max="30" width="10.44140625" style="3" customWidth="1"/>
    <col min="31" max="31" width="5.33203125" style="3" customWidth="1"/>
    <col min="32" max="32" width="10.44140625" style="3" customWidth="1"/>
    <col min="33" max="34" width="4.5546875" style="3" customWidth="1"/>
    <col min="35" max="35" width="24.6640625" style="2" bestFit="1" customWidth="1"/>
    <col min="36" max="36" width="10.5546875" bestFit="1" customWidth="1"/>
    <col min="37" max="37" width="10.5546875" customWidth="1"/>
    <col min="38" max="38" width="15.109375" customWidth="1"/>
    <col min="39" max="39" width="4.33203125" customWidth="1" outlineLevel="1"/>
    <col min="40" max="40" width="12.5546875" customWidth="1"/>
    <col min="41" max="41" width="5" customWidth="1" outlineLevel="1"/>
    <col min="42" max="42" width="12.5546875" customWidth="1"/>
    <col min="43" max="43" width="4.33203125" customWidth="1" outlineLevel="1"/>
    <col min="44" max="44" width="12.5546875" customWidth="1"/>
    <col min="45" max="45" width="5.109375" customWidth="1" outlineLevel="1"/>
    <col min="46" max="46" width="12.5546875" customWidth="1"/>
    <col min="47" max="47" width="5.5546875" customWidth="1" outlineLevel="1"/>
    <col min="48" max="49" width="12.5546875" customWidth="1"/>
    <col min="50" max="50" width="5" customWidth="1"/>
    <col min="51" max="51" width="14.44140625" style="1" customWidth="1"/>
    <col min="52" max="52" width="11.5546875" style="1" customWidth="1"/>
    <col min="53" max="53" width="5.5546875" style="1" hidden="1" customWidth="1" outlineLevel="1"/>
    <col min="54" max="54" width="11.44140625" collapsed="1"/>
    <col min="55" max="55" width="0" hidden="1" customWidth="1" outlineLevel="1"/>
    <col min="56" max="56" width="11.44140625" collapsed="1"/>
    <col min="57" max="57" width="0" hidden="1" customWidth="1" outlineLevel="1"/>
    <col min="58" max="58" width="11.44140625" collapsed="1"/>
    <col min="59" max="59" width="0" hidden="1" customWidth="1" outlineLevel="1"/>
    <col min="60" max="60" width="11.44140625" collapsed="1"/>
    <col min="61" max="61" width="0" hidden="1" customWidth="1" outlineLevel="1"/>
    <col min="62" max="62" width="11.44140625" collapsed="1"/>
  </cols>
  <sheetData>
    <row r="1" spans="1:62" s="95" customFormat="1" ht="26.4" x14ac:dyDescent="0.25">
      <c r="A1" s="95" t="s">
        <v>240</v>
      </c>
      <c r="R1" s="99"/>
      <c r="S1" s="268" t="s">
        <v>94</v>
      </c>
      <c r="T1" s="100"/>
      <c r="U1" s="100"/>
      <c r="V1" s="99"/>
      <c r="W1" s="99"/>
      <c r="X1" s="99"/>
      <c r="Y1" s="99"/>
      <c r="Z1" s="99"/>
      <c r="AA1" s="99"/>
      <c r="AB1" s="99"/>
      <c r="AC1" s="99"/>
      <c r="AD1" s="99"/>
      <c r="AE1" s="99"/>
      <c r="AF1" s="99"/>
      <c r="AG1" s="99"/>
      <c r="AH1" s="99"/>
      <c r="AI1" s="98" t="s">
        <v>93</v>
      </c>
      <c r="AW1" s="287"/>
      <c r="AY1" s="97" t="s">
        <v>92</v>
      </c>
      <c r="AZ1" s="96"/>
      <c r="BA1" s="96"/>
      <c r="BB1" s="86" t="s">
        <v>89</v>
      </c>
      <c r="BC1" s="86"/>
      <c r="BD1" s="86" t="s">
        <v>88</v>
      </c>
      <c r="BE1" s="86"/>
      <c r="BF1" s="85" t="s">
        <v>87</v>
      </c>
    </row>
    <row r="2" spans="1:62" x14ac:dyDescent="0.25">
      <c r="B2" t="s">
        <v>241</v>
      </c>
      <c r="R2" s="47"/>
      <c r="S2" s="93"/>
      <c r="T2" s="93"/>
      <c r="U2" s="93"/>
      <c r="V2" s="92">
        <f>Übernahme_Werte!E3</f>
        <v>0</v>
      </c>
      <c r="X2" s="92">
        <f>Übernahme_Werte!G3</f>
        <v>0</v>
      </c>
      <c r="Z2" s="92">
        <f>Übernahme_Werte!J3</f>
        <v>0</v>
      </c>
      <c r="AB2" s="92">
        <f>Übernahme_Werte!L3</f>
        <v>0</v>
      </c>
      <c r="AD2" s="92">
        <f>Übernahme_Werte!N3</f>
        <v>0</v>
      </c>
      <c r="AF2" s="92">
        <f>Übernahme_Werte!O3</f>
        <v>0</v>
      </c>
      <c r="AH2" s="99"/>
      <c r="AL2" s="87">
        <f>Übernahme_Werte!E3</f>
        <v>0</v>
      </c>
      <c r="AM2" s="87"/>
      <c r="AN2" s="87">
        <f>Übernahme_Werte!G3</f>
        <v>0</v>
      </c>
      <c r="AO2" s="87"/>
      <c r="AP2" s="87">
        <f>Übernahme_Werte!J3</f>
        <v>0</v>
      </c>
      <c r="AQ2" s="87"/>
      <c r="AR2" s="87">
        <f>Übernahme_Werte!L3</f>
        <v>0</v>
      </c>
      <c r="AS2" s="87"/>
      <c r="AT2" s="87">
        <f>Übernahme_Werte!N3</f>
        <v>0</v>
      </c>
      <c r="AU2" s="87"/>
      <c r="AV2" s="87">
        <f>Übernahme_Werte!O3</f>
        <v>0</v>
      </c>
      <c r="AW2" s="44"/>
      <c r="AY2" s="81"/>
      <c r="AZ2" s="67" t="s">
        <v>85</v>
      </c>
      <c r="BB2" s="80">
        <v>3</v>
      </c>
      <c r="BC2" s="80"/>
      <c r="BD2" s="80">
        <v>2</v>
      </c>
      <c r="BE2" s="79"/>
      <c r="BF2" s="78">
        <v>1</v>
      </c>
    </row>
    <row r="3" spans="1:62" s="84" customFormat="1" x14ac:dyDescent="0.25">
      <c r="B3" s="95" t="s">
        <v>202</v>
      </c>
      <c r="R3" s="47"/>
      <c r="S3" s="87"/>
      <c r="T3" s="87"/>
      <c r="U3" s="87"/>
      <c r="V3" s="89">
        <f>Übernahme_Werte!E4</f>
        <v>0</v>
      </c>
      <c r="W3" s="88"/>
      <c r="X3" s="89">
        <f>Übernahme_Werte!G4</f>
        <v>0</v>
      </c>
      <c r="Y3" s="88"/>
      <c r="Z3" s="89">
        <f>Übernahme_Werte!J4</f>
        <v>0</v>
      </c>
      <c r="AA3" s="88"/>
      <c r="AB3" s="89">
        <f>Übernahme_Werte!L4</f>
        <v>0</v>
      </c>
      <c r="AC3" s="88"/>
      <c r="AD3" s="89">
        <f>Übernahme_Werte!N4</f>
        <v>0</v>
      </c>
      <c r="AE3" s="88"/>
      <c r="AF3" s="89">
        <f>Übernahme_Werte!O4</f>
        <v>0</v>
      </c>
      <c r="AG3" s="88"/>
      <c r="AH3" s="99"/>
      <c r="AI3" s="258"/>
      <c r="AL3" s="87">
        <f>Übernahme_Werte!E4</f>
        <v>0</v>
      </c>
      <c r="AM3" s="87"/>
      <c r="AN3" s="87">
        <f>Übernahme_Werte!G4</f>
        <v>0</v>
      </c>
      <c r="AO3" s="87"/>
      <c r="AP3" s="87">
        <f>Übernahme_Werte!J4</f>
        <v>0</v>
      </c>
      <c r="AQ3" s="87"/>
      <c r="AR3" s="87">
        <f>Übernahme_Werte!L4</f>
        <v>0</v>
      </c>
      <c r="AS3" s="87"/>
      <c r="AT3" s="87">
        <f>Übernahme_Werte!N4</f>
        <v>0</v>
      </c>
      <c r="AU3" s="87"/>
      <c r="AV3" s="87">
        <f>Übernahme_Werte!O4</f>
        <v>0</v>
      </c>
      <c r="AW3" s="250" t="s">
        <v>90</v>
      </c>
      <c r="AY3" s="81"/>
      <c r="AZ3" s="77" t="s">
        <v>83</v>
      </c>
      <c r="BB3" s="76">
        <v>1</v>
      </c>
      <c r="BC3" s="76"/>
      <c r="BD3" s="75">
        <v>1</v>
      </c>
      <c r="BE3" s="75"/>
      <c r="BF3" s="74">
        <v>1</v>
      </c>
    </row>
    <row r="4" spans="1:62" x14ac:dyDescent="0.25">
      <c r="R4" s="269" t="str">
        <f>Übernahme_Werte!A5</f>
        <v>Trockenrückstand</v>
      </c>
      <c r="T4" s="41" t="s">
        <v>75</v>
      </c>
      <c r="U4" s="40"/>
      <c r="V4" s="69">
        <f>Übernahme_Werte!F5</f>
        <v>0.90909090909090906</v>
      </c>
      <c r="W4" s="83"/>
      <c r="X4" s="69">
        <f>Übernahme_Werte!H5</f>
        <v>0.90909090909090906</v>
      </c>
      <c r="Y4" s="83"/>
      <c r="Z4" s="69">
        <f>Übernahme_Werte!J5</f>
        <v>0.90909090909090906</v>
      </c>
      <c r="AA4" s="83"/>
      <c r="AB4" s="69">
        <f>Übernahme_Werte!L5</f>
        <v>0.90909090909090906</v>
      </c>
      <c r="AC4" s="83"/>
      <c r="AD4" s="69">
        <f>Übernahme_Werte!N5</f>
        <v>0.90909090909090906</v>
      </c>
      <c r="AE4" s="83"/>
      <c r="AF4" s="69">
        <f>Übernahme_Werte!P5</f>
        <v>0.90909090909090906</v>
      </c>
      <c r="AG4" s="83"/>
      <c r="AH4" s="99"/>
      <c r="AI4" s="283" t="str">
        <f>Übernahme_Werte!A5</f>
        <v>Trockenrückstand</v>
      </c>
      <c r="AJ4" s="40" t="str">
        <f>Übernahme_Werte!B5</f>
        <v>[Mas.-%]</v>
      </c>
      <c r="AK4" s="40"/>
      <c r="AL4" s="275">
        <f>Übernahme_Werte!F5</f>
        <v>0.90909090909090906</v>
      </c>
      <c r="AM4" s="40"/>
      <c r="AN4" s="275">
        <f>ROUND(Übernahme_Werte!H5,AZ4)</f>
        <v>0.90910000000000002</v>
      </c>
      <c r="AO4" s="40"/>
      <c r="AP4" s="275">
        <f>Übernahme_Werte!J5</f>
        <v>0.90909090909090906</v>
      </c>
      <c r="AQ4" s="40"/>
      <c r="AR4" s="275">
        <f>Übernahme_Werte!L5</f>
        <v>0.90909090909090906</v>
      </c>
      <c r="AS4" s="40"/>
      <c r="AT4" s="275">
        <f>Übernahme_Werte!N5</f>
        <v>0.90909090909090906</v>
      </c>
      <c r="AU4" s="40"/>
      <c r="AV4" s="275">
        <f>Übernahme_Werte!P5</f>
        <v>0.90909090909090906</v>
      </c>
      <c r="AW4" s="82"/>
      <c r="AX4" s="40"/>
      <c r="AY4" s="279" t="s">
        <v>250</v>
      </c>
      <c r="AZ4" s="1">
        <f>1+IFERROR(IF(V4&lt;0.01,$BF$2,IF(V4&lt;0.1,$BD$2,$BB$2))-(1+INT(LOG10(ABS(V4)))),7)</f>
        <v>4</v>
      </c>
      <c r="BB4" s="1">
        <f>1+IFERROR(IF(X4&lt;0.01,$BF$2,IF(X4&lt;0.1,$BD$2,$BB$2))-(1+INT(LOG10(ABS(X4)))),7)</f>
        <v>4</v>
      </c>
      <c r="BD4" s="1">
        <f>1+IFERROR(IF(Z4&lt;0.01,$BF$2,IF(Z4&lt;0.1,$BD$2,$BB$2))-(1+INT(LOG10(ABS(Z4)))),7)</f>
        <v>4</v>
      </c>
      <c r="BF4" s="1">
        <f>1+IFERROR(IF(AB4&lt;0.01,$BF$2,IF(AB4&lt;0.1,$BD$2,$BB$2))-(1+INT(LOG10(ABS(AB4)))),7)</f>
        <v>4</v>
      </c>
      <c r="BH4" s="1">
        <f>1+IFERROR(IF(AD4&lt;0.01,$BF$2,IF(AD4&lt;0.1,$BD$2,$BB$2))-(1+INT(LOG10(ABS(AD4)))),7)</f>
        <v>4</v>
      </c>
      <c r="BJ4" s="1">
        <f>1+IFERROR(IF(AF4&lt;0.01,$BF$2,IF(AF4&lt;0.1,$BD$2,$BB$2))-(1+INT(LOG10(ABS(AF4)))),7)</f>
        <v>4</v>
      </c>
    </row>
    <row r="5" spans="1:62" x14ac:dyDescent="0.25">
      <c r="R5" s="269" t="str">
        <f>Übernahme_Werte!A6</f>
        <v>Feuchte</v>
      </c>
      <c r="T5" s="41" t="s">
        <v>75</v>
      </c>
      <c r="U5" s="40"/>
      <c r="V5" s="69">
        <f>Übernahme_Werte!F6</f>
        <v>9.0909090909090939E-2</v>
      </c>
      <c r="W5" s="62"/>
      <c r="X5" s="69">
        <f>Übernahme_Werte!H6</f>
        <v>9.0909090909090939E-2</v>
      </c>
      <c r="Y5" s="62"/>
      <c r="Z5" s="69">
        <f>Übernahme_Werte!J6</f>
        <v>9.0909090909090939E-2</v>
      </c>
      <c r="AA5" s="62"/>
      <c r="AB5" s="69">
        <f>Übernahme_Werte!L6</f>
        <v>9.0909090909090939E-2</v>
      </c>
      <c r="AC5" s="62"/>
      <c r="AD5" s="69">
        <f>Übernahme_Werte!N6</f>
        <v>9.0909090909090939E-2</v>
      </c>
      <c r="AE5" s="62"/>
      <c r="AF5" s="69">
        <f>Übernahme_Werte!P6</f>
        <v>9.0909090909090939E-2</v>
      </c>
      <c r="AG5" s="62"/>
      <c r="AH5" s="62"/>
      <c r="AI5" s="283" t="str">
        <f>Übernahme_Werte!A6</f>
        <v>Feuchte</v>
      </c>
      <c r="AJ5" s="40" t="str">
        <f>Übernahme_Werte!B6</f>
        <v>[Mas.-%]</v>
      </c>
      <c r="AK5" s="40"/>
      <c r="AL5" s="275">
        <f>Übernahme_Werte!F6</f>
        <v>9.0909090909090939E-2</v>
      </c>
      <c r="AM5" s="40"/>
      <c r="AN5" s="275">
        <f>Übernahme_Werte!H6</f>
        <v>9.0909090909090939E-2</v>
      </c>
      <c r="AO5" s="40"/>
      <c r="AP5" s="275">
        <f>Übernahme_Werte!J6</f>
        <v>9.0909090909090939E-2</v>
      </c>
      <c r="AQ5" s="40"/>
      <c r="AR5" s="275">
        <f>Übernahme_Werte!L6</f>
        <v>9.0909090909090939E-2</v>
      </c>
      <c r="AS5" s="40"/>
      <c r="AT5" s="275">
        <f>Übernahme_Werte!N6</f>
        <v>9.0909090909090939E-2</v>
      </c>
      <c r="AU5" s="40"/>
      <c r="AV5" s="275">
        <f>Übernahme_Werte!P6</f>
        <v>9.0909090909090939E-2</v>
      </c>
      <c r="AW5" s="73">
        <f>AVERAGE(AL5:AV5)</f>
        <v>9.0909090909090939E-2</v>
      </c>
      <c r="AX5" s="72"/>
      <c r="AY5" s="81"/>
      <c r="AZ5" s="1">
        <f>1+IFERROR(IF(V5&lt;0.01,$BF$2,IF(V5&lt;0.1,$BD$2,$BB$2))-(1+INT(LOG10(ABS(V5)))),7)</f>
        <v>4</v>
      </c>
      <c r="BB5" s="1">
        <f>1+IFERROR(IF(X5&lt;0.01,$BF$2,IF(X5&lt;0.1,$BD$2,$BB$2))-(1+INT(LOG10(ABS(X5)))),7)</f>
        <v>4</v>
      </c>
      <c r="BD5" s="1">
        <f>1+IFERROR(IF(Z5&lt;0.01,$BF$2,IF(Z5&lt;0.1,$BD$2,$BB$2))-(1+INT(LOG10(ABS(Z5)))),7)</f>
        <v>4</v>
      </c>
      <c r="BF5" s="1">
        <f>1+IFERROR(IF(AB5&lt;0.01,$BF$2,IF(AB5&lt;0.1,$BD$2,$BB$2))-(1+INT(LOG10(ABS(AB5)))),7)</f>
        <v>4</v>
      </c>
      <c r="BH5" s="1">
        <f>1+IFERROR(IF(AD5&lt;0.01,$BF$2,IF(AD5&lt;0.1,$BD$2,$BB$2))-(1+INT(LOG10(ABS(AD5)))),7)</f>
        <v>4</v>
      </c>
      <c r="BJ5" s="1">
        <f>1+IFERROR(IF(AF5&lt;0.01,$BF$2,IF(AF5&lt;0.1,$BD$2,$BB$2))-(1+INT(LOG10(ABS(AF5)))),7)</f>
        <v>4</v>
      </c>
    </row>
    <row r="6" spans="1:62" x14ac:dyDescent="0.25">
      <c r="R6" s="269" t="s">
        <v>82</v>
      </c>
      <c r="T6" s="40"/>
      <c r="U6" s="40"/>
      <c r="V6" s="62"/>
      <c r="W6" s="62"/>
      <c r="X6" s="62"/>
      <c r="Y6" s="62"/>
      <c r="Z6" s="62"/>
      <c r="AA6" s="62"/>
      <c r="AB6" s="62"/>
      <c r="AC6" s="62"/>
      <c r="AD6" s="62"/>
      <c r="AE6" s="62"/>
      <c r="AF6" s="62"/>
      <c r="AG6" s="62"/>
      <c r="AH6" s="62"/>
      <c r="AI6" s="283" t="s">
        <v>82</v>
      </c>
      <c r="AJ6" s="40"/>
      <c r="AK6" s="40"/>
      <c r="AL6" s="275"/>
      <c r="AM6" s="40"/>
      <c r="AN6" s="275"/>
      <c r="AO6" s="40"/>
      <c r="AP6" s="275"/>
      <c r="AQ6" s="40"/>
      <c r="AR6" s="275"/>
      <c r="AS6" s="40"/>
      <c r="AT6" s="275"/>
      <c r="AU6" s="40"/>
      <c r="AV6" s="275"/>
      <c r="AW6" s="73">
        <f>AVERAGE(SUM(AL7:AL10),SUM(AN7:AN10),SUM(AP7:AP10),SUM(AR7:AR10),SUM(AT7:AT10),SUM(AV7:AV10))</f>
        <v>9.46969696969697E-3</v>
      </c>
      <c r="AX6" s="72"/>
      <c r="AY6" s="81"/>
      <c r="AZ6" s="70"/>
      <c r="BA6" s="70"/>
      <c r="BB6" s="70"/>
      <c r="BC6" s="71"/>
      <c r="BD6" s="70"/>
      <c r="BE6" s="71"/>
      <c r="BF6" s="70"/>
      <c r="BG6" s="71"/>
      <c r="BH6" s="70"/>
      <c r="BI6" s="71"/>
      <c r="BJ6" s="70"/>
    </row>
    <row r="7" spans="1:62" x14ac:dyDescent="0.25">
      <c r="R7" s="266" t="str">
        <f>Übernahme_Werte!A8</f>
        <v xml:space="preserve"> &gt; 50 mm</v>
      </c>
      <c r="T7" s="41" t="s">
        <v>75</v>
      </c>
      <c r="U7" s="40"/>
      <c r="V7" s="69">
        <f>Übernahme_Werte!F8</f>
        <v>0</v>
      </c>
      <c r="W7" s="68"/>
      <c r="X7" s="69">
        <f>Übernahme_Werte!H8</f>
        <v>0</v>
      </c>
      <c r="Y7" s="68"/>
      <c r="Z7" s="69">
        <f>Übernahme_Werte!J8</f>
        <v>0</v>
      </c>
      <c r="AA7" s="68"/>
      <c r="AB7" s="69">
        <f>Übernahme_Werte!L8</f>
        <v>0</v>
      </c>
      <c r="AC7" s="68"/>
      <c r="AD7" s="69">
        <f>Übernahme_Werte!N8</f>
        <v>0</v>
      </c>
      <c r="AE7" s="68"/>
      <c r="AF7" s="69">
        <f>Übernahme_Werte!P8</f>
        <v>0</v>
      </c>
      <c r="AG7" s="68"/>
      <c r="AH7" s="68"/>
      <c r="AI7" s="55" t="str">
        <f>Übernahme_Werte!A8</f>
        <v xml:space="preserve"> &gt; 50 mm</v>
      </c>
      <c r="AJ7" s="40" t="str">
        <f>Übernahme_Werte!B8</f>
        <v>[Mas.-%]</v>
      </c>
      <c r="AK7" s="40"/>
      <c r="AL7" s="275">
        <f>Übernahme_Werte!F8</f>
        <v>0</v>
      </c>
      <c r="AM7" s="40"/>
      <c r="AN7" s="275">
        <f>Übernahme_Werte!H8</f>
        <v>0</v>
      </c>
      <c r="AO7" s="40"/>
      <c r="AP7" s="275">
        <f>Übernahme_Werte!J8</f>
        <v>0</v>
      </c>
      <c r="AQ7" s="40"/>
      <c r="AR7" s="275">
        <f>Übernahme_Werte!L8</f>
        <v>0</v>
      </c>
      <c r="AS7" s="40"/>
      <c r="AT7" s="275">
        <f>Übernahme_Werte!N8</f>
        <v>0</v>
      </c>
      <c r="AU7" s="40"/>
      <c r="AV7" s="275">
        <f>Übernahme_Werte!P8</f>
        <v>0</v>
      </c>
      <c r="AW7" s="65"/>
      <c r="AX7" s="64"/>
      <c r="AY7" s="81"/>
      <c r="AZ7" s="1">
        <f>1+IFERROR(IF(V7&lt;0.01,$BF$2,IF(V7&lt;0.1,$BD$2,$BB$2))-(1+INT(LOG10(ABS(V7)))),7)</f>
        <v>8</v>
      </c>
      <c r="BB7" s="1">
        <f>1+IFERROR(IF(X7&lt;0.01,$BF$2,IF(X7&lt;0.1,$BD$2,$BB$2))-(1+INT(LOG10(ABS(X7)))),7)</f>
        <v>8</v>
      </c>
      <c r="BD7" s="1">
        <f>1+IFERROR(IF(Z7&lt;0.01,$BF$2,IF(Z7&lt;0.1,$BD$2,$BB$2))-(1+INT(LOG10(ABS(Z7)))),7)</f>
        <v>8</v>
      </c>
      <c r="BF7" s="1">
        <f>1+IFERROR(IF(AB7&lt;0.01,$BF$2,IF(AB7&lt;0.1,$BD$2,$BB$2))-(1+INT(LOG10(ABS(AB7)))),7)</f>
        <v>8</v>
      </c>
      <c r="BH7" s="1">
        <f>1+IFERROR(IF(AD7&lt;0.01,$BF$2,IF(AD7&lt;0.1,$BD$2,$BB$2))-(1+INT(LOG10(ABS(AD7)))),7)</f>
        <v>8</v>
      </c>
      <c r="BJ7" s="1">
        <f>1+IFERROR(IF(AF7&lt;0.01,$BF$2,IF(AF7&lt;0.1,$BD$2,$BB$2))-(1+INT(LOG10(ABS(AF7)))),7)</f>
        <v>8</v>
      </c>
    </row>
    <row r="8" spans="1:62" x14ac:dyDescent="0.25">
      <c r="R8" s="266" t="str">
        <f>Übernahme_Werte!A9</f>
        <v xml:space="preserve"> 50 mm &gt; x &gt; 2 mm</v>
      </c>
      <c r="T8" s="41" t="s">
        <v>75</v>
      </c>
      <c r="U8" s="40"/>
      <c r="V8" s="58">
        <f>Übernahme_Werte!F9*(1-(Übernahme_Werte!F$6+Übernahme_Werte!F$8))</f>
        <v>0</v>
      </c>
      <c r="W8" s="62"/>
      <c r="X8" s="58">
        <f>Übernahme_Werte!H9*(1-(Übernahme_Werte!H$6+Übernahme_Werte!H$8))</f>
        <v>0</v>
      </c>
      <c r="Y8" s="62"/>
      <c r="Z8" s="58">
        <f>Übernahme_Werte!J9*(1-(Übernahme_Werte!J$6+Übernahme_Werte!J$8))</f>
        <v>0</v>
      </c>
      <c r="AA8" s="62"/>
      <c r="AB8" s="58">
        <f>Übernahme_Werte!L9*(1-(Übernahme_Werte!L$6+Übernahme_Werte!L$8))</f>
        <v>0</v>
      </c>
      <c r="AC8" s="62"/>
      <c r="AD8" s="58">
        <f>Übernahme_Werte!N9*(1-(Übernahme_Werte!N$6+Übernahme_Werte!N$8))</f>
        <v>0</v>
      </c>
      <c r="AE8" s="62"/>
      <c r="AF8" s="58">
        <f>Übernahme_Werte!P9*(1-(Übernahme_Werte!P$6+Übernahme_Werte!P$8))</f>
        <v>0</v>
      </c>
      <c r="AG8" s="62"/>
      <c r="AH8" s="62"/>
      <c r="AI8" s="55" t="str">
        <f>Übernahme_Werte!A9</f>
        <v xml:space="preserve"> 50 mm &gt; x &gt; 2 mm</v>
      </c>
      <c r="AJ8" s="40" t="str">
        <f>Übernahme_Werte!B9</f>
        <v>[Mas.-%]</v>
      </c>
      <c r="AK8" s="40"/>
      <c r="AL8" s="275">
        <f>IFERROR(Übernahme_Werte!F9*(1-Übernahme_Werte!F$6)*(1-Übernahme_Werte!F$8),"-")</f>
        <v>0</v>
      </c>
      <c r="AM8" s="40"/>
      <c r="AN8" s="275">
        <f>IFERROR(Übernahme_Werte!H9*(1-Übernahme_Werte!H$6)*(1-Übernahme_Werte!H$8),"-")</f>
        <v>0</v>
      </c>
      <c r="AO8" s="40"/>
      <c r="AP8" s="275">
        <f>IFERROR(Übernahme_Werte!J9*(1-Übernahme_Werte!J$6)*(1-Übernahme_Werte!J$8),"-")</f>
        <v>0</v>
      </c>
      <c r="AQ8" s="40"/>
      <c r="AR8" s="275">
        <f>IFERROR(Übernahme_Werte!L9*(1-Übernahme_Werte!L$6)*(1-Übernahme_Werte!L$8),"-")</f>
        <v>0</v>
      </c>
      <c r="AS8" s="40"/>
      <c r="AT8" s="275">
        <f>IFERROR(Übernahme_Werte!N9*(1-Übernahme_Werte!N$6)*(1-Übernahme_Werte!N$8),"-")</f>
        <v>0</v>
      </c>
      <c r="AU8" s="40"/>
      <c r="AV8" s="275">
        <f>IFERROR(Übernahme_Werte!P9*(1-Übernahme_Werte!P$6)*(1-Übernahme_Werte!P$8),"-")</f>
        <v>0</v>
      </c>
      <c r="AW8" s="65"/>
      <c r="AX8" s="64"/>
      <c r="AY8" s="81"/>
      <c r="AZ8" s="1">
        <f>1+IFERROR(IF(V8&lt;0.01,$BF$2,IF(V8&lt;0.1,$BD$2,$BB$2))-(1+INT(LOG10(ABS(V8)))),7)</f>
        <v>8</v>
      </c>
      <c r="BB8" s="1">
        <f>1+IFERROR(IF(X8&lt;0.01,$BF$2,IF(X8&lt;0.1,$BD$2,$BB$2))-(1+INT(LOG10(ABS(X8)))),7)</f>
        <v>8</v>
      </c>
      <c r="BD8" s="1">
        <f>1+IFERROR(IF(Z8&lt;0.01,$BF$2,IF(Z8&lt;0.1,$BD$2,$BB$2))-(1+INT(LOG10(ABS(Z8)))),7)</f>
        <v>8</v>
      </c>
      <c r="BF8" s="1">
        <f>1+IFERROR(IF(AB8&lt;0.01,$BF$2,IF(AB8&lt;0.1,$BD$2,$BB$2))-(1+INT(LOG10(ABS(AB8)))),7)</f>
        <v>8</v>
      </c>
      <c r="BH8" s="1">
        <f>1+IFERROR(IF(AD8&lt;0.01,$BF$2,IF(AD8&lt;0.1,$BD$2,$BB$2))-(1+INT(LOG10(ABS(AD8)))),7)</f>
        <v>8</v>
      </c>
      <c r="BJ8" s="1">
        <f>1+IFERROR(IF(AF8&lt;0.01,$BF$2,IF(AF8&lt;0.1,$BD$2,$BB$2))-(1+INT(LOG10(ABS(AF8)))),7)</f>
        <v>8</v>
      </c>
    </row>
    <row r="9" spans="1:62" x14ac:dyDescent="0.25">
      <c r="R9" s="266" t="str">
        <f>Übernahme_Werte!A10</f>
        <v xml:space="preserve"> 2 mm &gt; x &gt; 1 mm</v>
      </c>
      <c r="T9" s="41" t="s">
        <v>75</v>
      </c>
      <c r="U9" s="40"/>
      <c r="V9" s="58">
        <f>Übernahme_Werte!F10*(1-Übernahme_Werte!F$9)*(1-(Übernahme_Werte!F$6+Übernahme_Werte!F$8))</f>
        <v>0</v>
      </c>
      <c r="W9" s="62"/>
      <c r="X9" s="58">
        <f>Übernahme_Werte!H10*(1-Übernahme_Werte!H$9)*(1-(Übernahme_Werte!H$6+Übernahme_Werte!H$8))</f>
        <v>7.2727272727272727E-3</v>
      </c>
      <c r="Y9" s="62"/>
      <c r="Z9" s="58">
        <f>Übernahme_Werte!J10*(1-Übernahme_Werte!J$9)*(1-(Übernahme_Werte!J$6+Übernahme_Werte!J$8))</f>
        <v>7.2727272727272727E-3</v>
      </c>
      <c r="AA9" s="62"/>
      <c r="AB9" s="58">
        <f>Übernahme_Werte!L10*(1-Übernahme_Werte!L$9)*(1-(Übernahme_Werte!L$6+Übernahme_Werte!L$8))</f>
        <v>7.2727272727272727E-3</v>
      </c>
      <c r="AC9" s="62"/>
      <c r="AD9" s="58">
        <f>Übernahme_Werte!N10*(1-Übernahme_Werte!N$9)*(1-(Übernahme_Werte!N$6+Übernahme_Werte!N$8))</f>
        <v>7.2727272727272727E-3</v>
      </c>
      <c r="AE9" s="62"/>
      <c r="AF9" s="58">
        <f>Übernahme_Werte!P10*(1-Übernahme_Werte!P$9)*(1-(Übernahme_Werte!P$6+Übernahme_Werte!P$8))</f>
        <v>7.2727272727272727E-3</v>
      </c>
      <c r="AG9" s="62"/>
      <c r="AH9" s="62"/>
      <c r="AI9" s="55" t="str">
        <f>Übernahme_Werte!A10</f>
        <v xml:space="preserve"> 2 mm &gt; x &gt; 1 mm</v>
      </c>
      <c r="AJ9" s="40" t="str">
        <f>Übernahme_Werte!B10</f>
        <v>[Mas.-%]</v>
      </c>
      <c r="AK9" s="40"/>
      <c r="AL9" s="275">
        <f>IFERROR(Übernahme_Werte!F10*(1-Übernahme_Werte!F$9)*(1-Übernahme_Werte!F$6)*(1-Übernahme_Werte!F$8),"-")</f>
        <v>0</v>
      </c>
      <c r="AM9" s="66"/>
      <c r="AN9" s="275">
        <f>IFERROR(Übernahme_Werte!H10*(1-Übernahme_Werte!H$9)*(1-Übernahme_Werte!H$6)*(1-Übernahme_Werte!H$8),"-")</f>
        <v>7.2727272727272727E-3</v>
      </c>
      <c r="AO9" s="66"/>
      <c r="AP9" s="275">
        <f>IFERROR(Übernahme_Werte!J10*(1-Übernahme_Werte!J$9)*(1-Übernahme_Werte!J$6)*(1-Übernahme_Werte!J$8),"-")</f>
        <v>7.2727272727272727E-3</v>
      </c>
      <c r="AQ9" s="66"/>
      <c r="AR9" s="275">
        <f>IFERROR(Übernahme_Werte!L10*(1-Übernahme_Werte!L$9)*(1-Übernahme_Werte!L$6)*(1-Übernahme_Werte!L$8),"-")</f>
        <v>7.2727272727272727E-3</v>
      </c>
      <c r="AS9" s="66"/>
      <c r="AT9" s="275">
        <f>IFERROR(Übernahme_Werte!N10*(1-Übernahme_Werte!N$9)*(1-Übernahme_Werte!N$6)*(1-Übernahme_Werte!N$8),"-")</f>
        <v>7.2727272727272727E-3</v>
      </c>
      <c r="AU9" s="66"/>
      <c r="AV9" s="275">
        <f>IFERROR(Übernahme_Werte!P10*(1-Übernahme_Werte!P$9)*(1-Übernahme_Werte!P$6)*(1-Übernahme_Werte!P$8),"-")</f>
        <v>7.2727272727272727E-3</v>
      </c>
      <c r="AW9" s="65"/>
      <c r="AX9" s="64"/>
      <c r="AY9" s="81"/>
      <c r="AZ9" s="1">
        <f>1+IFERROR(IF(V9&lt;0.01,$BF$2,IF(V9&lt;0.1,$BD$2,$BB$2))-(1+INT(LOG10(ABS(V9)))),7)</f>
        <v>8</v>
      </c>
      <c r="BB9" s="1">
        <f>1+IFERROR(IF(X9&lt;0.01,$BF$2,IF(X9&lt;0.1,$BD$2,$BB$2))-(1+INT(LOG10(ABS(X9)))),7)</f>
        <v>4</v>
      </c>
      <c r="BD9" s="1">
        <f>1+IFERROR(IF(Z9&lt;0.01,$BF$2,IF(Z9&lt;0.1,$BD$2,$BB$2))-(1+INT(LOG10(ABS(Z9)))),7)</f>
        <v>4</v>
      </c>
      <c r="BF9" s="1">
        <f>1+IFERROR(IF(AB9&lt;0.01,$BF$2,IF(AB9&lt;0.1,$BD$2,$BB$2))-(1+INT(LOG10(ABS(AB9)))),7)</f>
        <v>4</v>
      </c>
      <c r="BH9" s="1">
        <f>1+IFERROR(IF(AD9&lt;0.01,$BF$2,IF(AD9&lt;0.1,$BD$2,$BB$2))-(1+INT(LOG10(ABS(AD9)))),7)</f>
        <v>4</v>
      </c>
      <c r="BJ9" s="1">
        <f>1+IFERROR(IF(AF9&lt;0.01,$BF$2,IF(AF9&lt;0.1,$BD$2,$BB$2))-(1+INT(LOG10(ABS(AF9)))),7)</f>
        <v>4</v>
      </c>
    </row>
    <row r="10" spans="1:62" x14ac:dyDescent="0.25">
      <c r="R10" s="266" t="str">
        <f>Übernahme_Werte!A11</f>
        <v xml:space="preserve"> 1 mm &gt; x &gt; 0,25 mm</v>
      </c>
      <c r="T10" s="41" t="s">
        <v>75</v>
      </c>
      <c r="U10" s="40"/>
      <c r="V10" s="58">
        <f>Übernahme_Werte!F11*(1-Übernahme_Werte!F$9)*(1-(Übernahme_Werte!F$6+Übernahme_Werte!F$8))</f>
        <v>2.2727272727272726E-3</v>
      </c>
      <c r="W10" s="62"/>
      <c r="X10" s="58">
        <f>Übernahme_Werte!H11*(1-Übernahme_Werte!H$9)*(1-(Übernahme_Werte!H$6+Übernahme_Werte!H$8))</f>
        <v>3.6363636363636364E-3</v>
      </c>
      <c r="Y10" s="62"/>
      <c r="Z10" s="58">
        <f>Übernahme_Werte!J11*(1-Übernahme_Werte!J$9)*(1-(Übernahme_Werte!J$6+Übernahme_Werte!J$8))</f>
        <v>3.6363636363636364E-3</v>
      </c>
      <c r="AA10" s="62"/>
      <c r="AB10" s="58">
        <f>Übernahme_Werte!L11*(1-Übernahme_Werte!L$9)*(1-(Übernahme_Werte!L$6+Übernahme_Werte!L$8))</f>
        <v>3.6363636363636364E-3</v>
      </c>
      <c r="AC10" s="62"/>
      <c r="AD10" s="58">
        <f>Übernahme_Werte!N11*(1-Übernahme_Werte!N$9)*(1-(Übernahme_Werte!N$6+Übernahme_Werte!N$8))</f>
        <v>3.6363636363636364E-3</v>
      </c>
      <c r="AE10" s="62"/>
      <c r="AF10" s="58">
        <f>Übernahme_Werte!P11*(1-Übernahme_Werte!P$9)*(1-(Übernahme_Werte!P$6+Übernahme_Werte!P$8))</f>
        <v>3.6363636363636364E-3</v>
      </c>
      <c r="AG10" s="62"/>
      <c r="AH10" s="62"/>
      <c r="AI10" s="55" t="str">
        <f>Übernahme_Werte!A11</f>
        <v xml:space="preserve"> 1 mm &gt; x &gt; 0,25 mm</v>
      </c>
      <c r="AJ10" s="40" t="str">
        <f>Übernahme_Werte!B11</f>
        <v>[Mas.-%]</v>
      </c>
      <c r="AK10" s="40"/>
      <c r="AL10" s="275">
        <f>IFERROR(Übernahme_Werte!F11*(1-Übernahme_Werte!F$9)*(1-Übernahme_Werte!F$6)*(1-Übernahme_Werte!F$8),"-")</f>
        <v>2.2727272727272726E-3</v>
      </c>
      <c r="AM10" s="66"/>
      <c r="AN10" s="275">
        <f>IFERROR(Übernahme_Werte!H11*(1-Übernahme_Werte!H$9)*(1-Übernahme_Werte!H$6)*(1-Übernahme_Werte!H$8),"-")</f>
        <v>3.6363636363636364E-3</v>
      </c>
      <c r="AO10" s="66"/>
      <c r="AP10" s="275">
        <f>IFERROR(Übernahme_Werte!J11*(1-Übernahme_Werte!J$9)*(1-Übernahme_Werte!J$6)*(1-Übernahme_Werte!J$8),"-")</f>
        <v>3.6363636363636364E-3</v>
      </c>
      <c r="AQ10" s="66"/>
      <c r="AR10" s="275">
        <f>IFERROR(Übernahme_Werte!L11*(1-Übernahme_Werte!L$9)*(1-Übernahme_Werte!L$6)*(1-Übernahme_Werte!L$8),"-")</f>
        <v>3.6363636363636364E-3</v>
      </c>
      <c r="AS10" s="66"/>
      <c r="AT10" s="275">
        <f>IFERROR(Übernahme_Werte!N11*(1-Übernahme_Werte!N$9)*(1-Übernahme_Werte!N$6)*(1-Übernahme_Werte!N$8),"-")</f>
        <v>3.6363636363636364E-3</v>
      </c>
      <c r="AU10" s="66"/>
      <c r="AV10" s="275">
        <f>IFERROR(Übernahme_Werte!P11*(1-Übernahme_Werte!P$9)*(1-Übernahme_Werte!P$6)*(1-Übernahme_Werte!P$8),"-")</f>
        <v>3.6363636363636364E-3</v>
      </c>
      <c r="AW10" s="65"/>
      <c r="AX10" s="64"/>
      <c r="AY10" s="81"/>
      <c r="AZ10" s="1">
        <f>1+IFERROR(IF(V10&lt;0.01,$BF$2,IF(V10&lt;0.1,$BD$2,$BB$2))-(1+INT(LOG10(ABS(V10)))),7)</f>
        <v>4</v>
      </c>
      <c r="BB10" s="1">
        <f>1+IFERROR(IF(X10&lt;0.01,$BF$2,IF(X10&lt;0.1,$BD$2,$BB$2))-(1+INT(LOG10(ABS(X10)))),7)</f>
        <v>4</v>
      </c>
      <c r="BD10" s="1">
        <f>1+IFERROR(IF(Z10&lt;0.01,$BF$2,IF(Z10&lt;0.1,$BD$2,$BB$2))-(1+INT(LOG10(ABS(Z10)))),7)</f>
        <v>4</v>
      </c>
      <c r="BF10" s="1">
        <f>1+IFERROR(IF(AB10&lt;0.01,$BF$2,IF(AB10&lt;0.1,$BD$2,$BB$2))-(1+INT(LOG10(ABS(AB10)))),7)</f>
        <v>4</v>
      </c>
      <c r="BH10" s="1">
        <f>1+IFERROR(IF(AD10&lt;0.01,$BF$2,IF(AD10&lt;0.1,$BD$2,$BB$2))-(1+INT(LOG10(ABS(AD10)))),7)</f>
        <v>4</v>
      </c>
      <c r="BJ10" s="1">
        <f>1+IFERROR(IF(AF10&lt;0.01,$BF$2,IF(AF10&lt;0.1,$BD$2,$BB$2))-(1+INT(LOG10(ABS(AF10)))),7)</f>
        <v>4</v>
      </c>
    </row>
    <row r="11" spans="1:62" x14ac:dyDescent="0.25">
      <c r="R11" s="71" t="str">
        <f>Übernahme_Werte!A12</f>
        <v>Untersuchung der Mineralphase (&lt; 0,25 mm)</v>
      </c>
      <c r="V11" s="62"/>
      <c r="W11" s="62"/>
      <c r="X11" s="62"/>
      <c r="Y11" s="62"/>
      <c r="Z11" s="62"/>
      <c r="AA11" s="62"/>
      <c r="AB11" s="62"/>
      <c r="AC11" s="62"/>
      <c r="AD11" s="62"/>
      <c r="AE11" s="62"/>
      <c r="AF11" s="62"/>
      <c r="AG11" s="62"/>
      <c r="AH11" s="62"/>
      <c r="AI11" s="29" t="str">
        <f>Übernahme_Werte!A12</f>
        <v>Untersuchung der Mineralphase (&lt; 0,25 mm)</v>
      </c>
      <c r="AL11" s="275"/>
      <c r="AN11" s="275"/>
      <c r="AP11" s="275"/>
      <c r="AR11" s="275"/>
      <c r="AT11" s="275"/>
      <c r="AV11" s="275"/>
      <c r="AW11" s="44"/>
      <c r="AY11" s="81"/>
      <c r="BB11" s="1"/>
    </row>
    <row r="12" spans="1:62" ht="13.8" x14ac:dyDescent="0.25">
      <c r="R12" s="265" t="s">
        <v>72</v>
      </c>
      <c r="T12" s="4"/>
      <c r="U12" s="4"/>
      <c r="V12" s="60">
        <f>Übernahme_Werte!F13</f>
        <v>0.02</v>
      </c>
      <c r="W12" s="60"/>
      <c r="X12" s="60">
        <f>Übernahme_Werte!H13</f>
        <v>0.02</v>
      </c>
      <c r="Y12" s="60"/>
      <c r="Z12" s="60">
        <f>Übernahme_Werte!J13</f>
        <v>0.02</v>
      </c>
      <c r="AA12" s="60"/>
      <c r="AB12" s="60">
        <f>Übernahme_Werte!L13</f>
        <v>0.02</v>
      </c>
      <c r="AC12" s="60"/>
      <c r="AD12" s="60">
        <f>Übernahme_Werte!N13</f>
        <v>0.02</v>
      </c>
      <c r="AE12" s="26"/>
      <c r="AF12" s="60">
        <f>Übernahme_Werte!P13</f>
        <v>0.02</v>
      </c>
      <c r="AG12" s="26"/>
      <c r="AH12" s="26"/>
      <c r="AI12" s="61" t="s">
        <v>72</v>
      </c>
      <c r="AJ12" s="4"/>
      <c r="AK12" s="4"/>
      <c r="AL12" s="275">
        <f>IF(Übernahme_Werte!F13="n.b.","n.b.",IFERROR(ROUND(V12,AZ12),"Prüfen!"))</f>
        <v>0.02</v>
      </c>
      <c r="AM12" s="57"/>
      <c r="AN12" s="275">
        <f>IF(Übernahme_Werte!H13="n.b.","n.b.",IFERROR(ROUND(X12,BB12),"Prüfen!"))</f>
        <v>0.02</v>
      </c>
      <c r="AO12" s="57"/>
      <c r="AP12" s="275">
        <f>IF(Übernahme_Werte!J13="n.b.","n.b.",IFERROR(ROUND(Z12,BD12),"Prüfen!"))</f>
        <v>0.02</v>
      </c>
      <c r="AQ12" s="57"/>
      <c r="AR12" s="275">
        <f>IF(Übernahme_Werte!L13="n.b.","n.b.",IFERROR(ROUND(AB12,BF12),"Prüfen!"))</f>
        <v>0.02</v>
      </c>
      <c r="AS12" s="57"/>
      <c r="AT12" s="275">
        <f>IF(Übernahme_Werte!N13="n.b.","n.b.",IFERROR(ROUND(AD12,BH12),"Prüfen!"))</f>
        <v>0.02</v>
      </c>
      <c r="AU12" s="57"/>
      <c r="AV12" s="275">
        <f>IF(Übernahme_Werte!P13="n.b.","n.b.",IFERROR(ROUND(AF12,BJ12),"Prüfen!"))</f>
        <v>0.02</v>
      </c>
      <c r="AW12" s="278"/>
      <c r="AX12" s="33"/>
      <c r="AY12" s="81"/>
      <c r="AZ12" s="1">
        <f>1+IFERROR(IF(V12&lt;0.01,$BF$2,IF(V12&lt;0.1,$BD$2,$BB$2))-(1+INT(LOG10(ABS(V12)))),7)</f>
        <v>4</v>
      </c>
      <c r="BB12" s="1">
        <f>1+IFERROR(IF(X12&lt;0.01,$BF$2,IF(X12&lt;0.1,$BD$2,$BB$2))-(1+INT(LOG10(ABS(X12)))),7)</f>
        <v>4</v>
      </c>
      <c r="BD12" s="1">
        <f>1+IFERROR(IF(Z12&lt;0.01,$BF$2,IF(Z12&lt;0.1,$BD$2,$BB$2))-(1+INT(LOG10(ABS(Z12)))),7)</f>
        <v>4</v>
      </c>
      <c r="BF12" s="1">
        <f>1+IFERROR(IF(AB12&lt;0.01,$BF$2,IF(AB12&lt;0.1,$BD$2,$BB$2))-(1+INT(LOG10(ABS(AB12)))),7)</f>
        <v>4</v>
      </c>
      <c r="BH12" s="1">
        <f>1+IFERROR(IF(AD12&lt;0.01,$BF$2,IF(AD12&lt;0.1,$BD$2,$BB$2))-(1+INT(LOG10(ABS(AD12)))),7)</f>
        <v>4</v>
      </c>
      <c r="BJ12" s="1">
        <f>1+IFERROR(IF(AF12&lt;0.01,$BF$2,IF(AF12&lt;0.1,$BD$2,$BB$2))-(1+INT(LOG10(ABS(AF12)))),7)</f>
        <v>4</v>
      </c>
    </row>
    <row r="13" spans="1:62" ht="13.8" x14ac:dyDescent="0.25">
      <c r="R13" s="56" t="s">
        <v>70</v>
      </c>
      <c r="V13" s="60" t="str">
        <f>Übernahme_Werte!F14</f>
        <v>n.b.</v>
      </c>
      <c r="W13" s="60"/>
      <c r="X13" s="60" t="str">
        <f>Übernahme_Werte!H14</f>
        <v>n.b.</v>
      </c>
      <c r="Y13" s="60"/>
      <c r="Z13" s="60" t="str">
        <f>Übernahme_Werte!J14</f>
        <v>n.b.</v>
      </c>
      <c r="AA13" s="60"/>
      <c r="AB13" s="60" t="str">
        <f>Übernahme_Werte!L14</f>
        <v>n.b.</v>
      </c>
      <c r="AC13" s="60"/>
      <c r="AD13" s="60" t="str">
        <f>Übernahme_Werte!N14</f>
        <v>n.b.</v>
      </c>
      <c r="AE13" s="26"/>
      <c r="AF13" s="26" t="str">
        <f>Übernahme_Werte!P14</f>
        <v>n.b.</v>
      </c>
      <c r="AG13" s="26"/>
      <c r="AH13" s="26"/>
      <c r="AI13" s="22" t="s">
        <v>70</v>
      </c>
      <c r="AL13" s="275" t="str">
        <f>IF(Übernahme_Werte!F14="n.b.","n.b.",IFERROR(ROUND(V13,AZ13),"Prüfen!"))</f>
        <v>n.b.</v>
      </c>
      <c r="AM13" s="57"/>
      <c r="AN13" s="275" t="str">
        <f>IF(Übernahme_Werte!H14="n.b.","n.b.",IFERROR(ROUND(X13,BB13),"Prüfen!"))</f>
        <v>n.b.</v>
      </c>
      <c r="AO13" s="57"/>
      <c r="AP13" s="275" t="str">
        <f>IF(Übernahme_Werte!J14="n.b.","n.b.",IFERROR(ROUND(Z13,BD13),"Prüfen!"))</f>
        <v>n.b.</v>
      </c>
      <c r="AQ13" s="57"/>
      <c r="AR13" s="275" t="str">
        <f>IF(Übernahme_Werte!L14="n.b.","n.b.",IFERROR(ROUND(AB13,BF13),"Prüfen!"))</f>
        <v>n.b.</v>
      </c>
      <c r="AS13" s="57"/>
      <c r="AT13" s="275" t="str">
        <f>IF(Übernahme_Werte!N14="n.b.","n.b.",IFERROR(ROUND(AD13,BH13),"Prüfen!"))</f>
        <v>n.b.</v>
      </c>
      <c r="AU13" s="57"/>
      <c r="AV13" s="275" t="str">
        <f>IF(Übernahme_Werte!P14="n.b.","n.b.",IFERROR(ROUND(AF13,BJ13),"Prüfen!"))</f>
        <v>n.b.</v>
      </c>
      <c r="AW13" s="278"/>
      <c r="AX13" s="33"/>
      <c r="AY13" s="81"/>
      <c r="AZ13" s="1">
        <f>1+IFERROR(IF(V13&lt;0.01,$BF$2,IF(V13&lt;0.1,$BD$2,$BB$2))-(1+INT(LOG10(ABS(V13)))),7)</f>
        <v>8</v>
      </c>
      <c r="BB13" s="1">
        <f>1+IFERROR(IF(X13&lt;0.01,$BF$2,IF(X13&lt;0.1,$BD$2,$BB$2))-(1+INT(LOG10(ABS(X13)))),7)</f>
        <v>8</v>
      </c>
      <c r="BD13" s="1">
        <f>1+IFERROR(IF(Z13&lt;0.01,$BF$2,IF(Z13&lt;0.1,$BD$2,$BB$2))-(1+INT(LOG10(ABS(Z13)))),7)</f>
        <v>8</v>
      </c>
      <c r="BF13" s="1">
        <f>1+IFERROR(IF(AB13&lt;0.01,$BF$2,IF(AB13&lt;0.1,$BD$2,$BB$2))-(1+INT(LOG10(ABS(AB13)))),7)</f>
        <v>8</v>
      </c>
      <c r="BH13" s="1">
        <f>1+IFERROR(IF(AD13&lt;0.01,$BF$2,IF(AD13&lt;0.1,$BD$2,$BB$2))-(1+INT(LOG10(ABS(AD13)))),7)</f>
        <v>8</v>
      </c>
      <c r="BJ13" s="1">
        <f>1+IFERROR(IF(AF13&lt;0.01,$BF$2,IF(AF13&lt;0.1,$BD$2,$BB$2))-(1+INT(LOG10(ABS(AF13)))),7)</f>
        <v>8</v>
      </c>
    </row>
    <row r="14" spans="1:62" ht="13.8" x14ac:dyDescent="0.25">
      <c r="R14" s="56" t="s">
        <v>68</v>
      </c>
      <c r="T14" t="s">
        <v>67</v>
      </c>
      <c r="V14" s="58">
        <f>Übernahme_Werte!F15*(1-(Übernahme_Werte!F$11+Übernahme_Werte!F$10))*(1-Übernahme_Werte!F$9)*(1-(Übernahme_Werte!F$6+Übernahme_Werte!F$8))</f>
        <v>4.5340909090909095E-3</v>
      </c>
      <c r="W14" s="26"/>
      <c r="X14" s="58">
        <f>Übernahme_Werte!H15*(1-(Übernahme_Werte!H$11+Übernahme_Werte!H$10))*(1-Übernahme_Werte!H$9)*(1-(Übernahme_Werte!H$6+Übernahme_Werte!H$8))</f>
        <v>4.4909090909090905E-3</v>
      </c>
      <c r="Y14" s="26"/>
      <c r="Z14" s="58">
        <f>Übernahme_Werte!J15*(1-(Übernahme_Werte!J$11+Übernahme_Werte!J$10))*(1-Übernahme_Werte!J$9)*(1-(Übernahme_Werte!J$6+Übernahme_Werte!J$8))</f>
        <v>4.4909090909090905E-3</v>
      </c>
      <c r="AA14" s="26"/>
      <c r="AB14" s="58">
        <f>Übernahme_Werte!L15*(1-(Übernahme_Werte!L$11+Übernahme_Werte!L$10))*(1-Übernahme_Werte!L$9)*(1-(Übernahme_Werte!L$6+Übernahme_Werte!L$8))</f>
        <v>4.4909090909090905E-3</v>
      </c>
      <c r="AC14" s="26"/>
      <c r="AD14" s="58">
        <f>Übernahme_Werte!N15*(1-(Übernahme_Werte!N$11+Übernahme_Werte!N$10))*(1-Übernahme_Werte!N$9)*(1-(Übernahme_Werte!N$6+Übernahme_Werte!N$8))</f>
        <v>4.4909090909090905E-3</v>
      </c>
      <c r="AE14" s="26"/>
      <c r="AF14" s="58">
        <f>Übernahme_Werte!P15*(1-(Übernahme_Werte!P$11+Übernahme_Werte!P$10))*(1-Übernahme_Werte!P$9)*(1-(Übernahme_Werte!P$6+Übernahme_Werte!P$8))</f>
        <v>4.4909090909090905E-3</v>
      </c>
      <c r="AG14" s="26"/>
      <c r="AH14" s="26"/>
      <c r="AI14" s="22" t="s">
        <v>66</v>
      </c>
      <c r="AL14" s="275">
        <f>IF(Übernahme_Werte!F15="n.b.","n.b.",IFERROR(ROUND(V14,AZ14),"Prüfen!"))</f>
        <v>4.4999999999999997E-3</v>
      </c>
      <c r="AM14" s="57"/>
      <c r="AN14" s="275">
        <f>IF(Übernahme_Werte!H15="n.b.","n.b.",IFERROR(ROUND(X14,BB14),"Prüfen!"))</f>
        <v>4.4999999999999997E-3</v>
      </c>
      <c r="AO14" s="57"/>
      <c r="AP14" s="275">
        <f>IF(Übernahme_Werte!J15="n.b.","n.b.",IFERROR(ROUND(Z14,BD14),"Prüfen!"))</f>
        <v>4.4999999999999997E-3</v>
      </c>
      <c r="AQ14" s="57"/>
      <c r="AR14" s="275">
        <f>IF(Übernahme_Werte!L15="n.b.","n.b.",IFERROR(ROUND(AB14,BF14),"Prüfen!"))</f>
        <v>4.4999999999999997E-3</v>
      </c>
      <c r="AS14" s="57"/>
      <c r="AT14" s="275">
        <f>IF(Übernahme_Werte!N15="n.b.","n.b.",IFERROR(ROUND(AD14,BH14),"Prüfen!"))</f>
        <v>4.4999999999999997E-3</v>
      </c>
      <c r="AU14" s="57"/>
      <c r="AV14" s="275">
        <f>IF(Übernahme_Werte!P15="n.b.","n.b.",IFERROR(ROUND(AF14,BJ14),"Prüfen!"))</f>
        <v>4.4999999999999997E-3</v>
      </c>
      <c r="AW14" s="278"/>
      <c r="AX14" s="33"/>
      <c r="AY14" s="81"/>
      <c r="AZ14" s="1">
        <f>1+IFERROR(IF(V14&lt;0.01,$BF$2,IF(V14&lt;0.1,$BD$2,$BB$2))-(1+INT(LOG10(ABS(V14)))),7)</f>
        <v>4</v>
      </c>
      <c r="BB14" s="1">
        <f>1+IFERROR(IF(X14&lt;0.01,$BF$2,IF(X14&lt;0.1,$BD$2,$BB$2))-(1+INT(LOG10(ABS(X14)))),7)</f>
        <v>4</v>
      </c>
      <c r="BD14" s="1">
        <f>1+IFERROR(IF(Z14&lt;0.01,$BF$2,IF(Z14&lt;0.1,$BD$2,$BB$2))-(1+INT(LOG10(ABS(Z14)))),7)</f>
        <v>4</v>
      </c>
      <c r="BF14" s="1">
        <f>1+IFERROR(IF(AB14&lt;0.01,$BF$2,IF(AB14&lt;0.1,$BD$2,$BB$2))-(1+INT(LOG10(ABS(AB14)))),7)</f>
        <v>4</v>
      </c>
      <c r="BH14" s="1">
        <f>1+IFERROR(IF(AD14&lt;0.01,$BF$2,IF(AD14&lt;0.1,$BD$2,$BB$2))-(1+INT(LOG10(ABS(AD14)))),7)</f>
        <v>4</v>
      </c>
      <c r="BJ14" s="1">
        <f>1+IFERROR(IF(AF14&lt;0.01,$BF$2,IF(AF14&lt;0.1,$BD$2,$BB$2))-(1+INT(LOG10(ABS(AF14)))),7)</f>
        <v>4</v>
      </c>
    </row>
    <row r="15" spans="1:62" ht="20.25" customHeight="1" x14ac:dyDescent="0.25">
      <c r="R15" s="266" t="str">
        <f>Übernahme_Werte!A17&amp;" (Mineralphase)"</f>
        <v>Ag (Mineralphase)</v>
      </c>
      <c r="T15" s="40" t="s">
        <v>20</v>
      </c>
      <c r="U15" s="21" t="str">
        <f>Übernahme_Werte!E17</f>
        <v>&lt;</v>
      </c>
      <c r="V15" s="38">
        <f>Übernahme_Werte!F17*(1-(Übernahme_Werte!F$11+Übernahme_Werte!F$10))*(1-Übernahme_Werte!F$9)*(1-(Übernahme_Werte!F$6+Übernahme_Werte!F$8))</f>
        <v>4.5340909090909092</v>
      </c>
      <c r="W15" s="21" t="str">
        <f>Übernahme_Werte!G17</f>
        <v>&lt;</v>
      </c>
      <c r="X15" s="38">
        <f>Übernahme_Werte!H17*(1-(Übernahme_Werte!H$11+Übernahme_Werte!H$10))*(1-Übernahme_Werte!H$9)*(1-(Übernahme_Werte!H$6+Übernahme_Werte!H$8))</f>
        <v>4.4909090909090903</v>
      </c>
      <c r="Y15" s="21" t="str">
        <f>Übernahme_Werte!I17</f>
        <v>&lt;</v>
      </c>
      <c r="Z15" s="38">
        <f>Übernahme_Werte!J17*(1-(Übernahme_Werte!J$11+Übernahme_Werte!J$10))*(1-Übernahme_Werte!J$9)*(1-(Übernahme_Werte!J$6+Übernahme_Werte!J$8))</f>
        <v>4.4909090909090903</v>
      </c>
      <c r="AA15" s="21" t="str">
        <f>Übernahme_Werte!K17</f>
        <v>&lt;</v>
      </c>
      <c r="AB15" s="38">
        <f>Übernahme_Werte!L17*(1-(Übernahme_Werte!L$11+Übernahme_Werte!L$10))*(1-Übernahme_Werte!L$9)*(1-(Übernahme_Werte!L$6+Übernahme_Werte!L$8))</f>
        <v>4.4909090909090903</v>
      </c>
      <c r="AC15" s="21" t="str">
        <f>Übernahme_Werte!M17</f>
        <v>&lt;</v>
      </c>
      <c r="AD15" s="38">
        <f>Übernahme_Werte!N17*(1-(Übernahme_Werte!N$11+Übernahme_Werte!N$10))*(1-Übernahme_Werte!N$9)*(1-(Übernahme_Werte!N$6+Übernahme_Werte!N$8))</f>
        <v>4.4909090909090903</v>
      </c>
      <c r="AE15" s="21" t="str">
        <f>Übernahme_Werte!O17</f>
        <v>&lt;</v>
      </c>
      <c r="AF15" s="38">
        <f>Übernahme_Werte!P17*(1-(Übernahme_Werte!P$11+Übernahme_Werte!P$10))*(1-Übernahme_Werte!P$9)*(1-(Übernahme_Werte!P$6+Übernahme_Werte!P$8))</f>
        <v>4.4909090909090903</v>
      </c>
      <c r="AG15" s="47"/>
      <c r="AH15" s="47"/>
      <c r="AI15" s="55" t="str">
        <f>Übernahme_Werte!A17</f>
        <v>Ag</v>
      </c>
      <c r="AJ15" s="40" t="s">
        <v>20</v>
      </c>
      <c r="AK15" s="21" t="str">
        <f>Übernahme_Werte!E17</f>
        <v>&lt;</v>
      </c>
      <c r="AL15" s="20">
        <f t="shared" ref="AL15:AL46" si="0">IFERROR(ROUND(V15,AZ15),"Prüfen!")</f>
        <v>5</v>
      </c>
      <c r="AM15" s="21" t="str">
        <f>Übernahme_Werte!G17</f>
        <v>&lt;</v>
      </c>
      <c r="AN15" s="20">
        <f t="shared" ref="AN15:AN46" si="1">IFERROR(ROUND(X15,BB15),"Prüfen!")</f>
        <v>4</v>
      </c>
      <c r="AO15" s="21" t="str">
        <f>Übernahme_Werte!I17</f>
        <v>&lt;</v>
      </c>
      <c r="AP15" s="20">
        <f t="shared" ref="AP15:AP46" si="2">IFERROR(ROUND(Z15,BD15),"Prüfen!")</f>
        <v>4</v>
      </c>
      <c r="AQ15" s="21" t="str">
        <f>Übernahme_Werte!K17</f>
        <v>&lt;</v>
      </c>
      <c r="AR15" s="20">
        <f t="shared" ref="AR15:AR46" si="3">IFERROR(ROUND(AB15,BF15),"Prüfen!")</f>
        <v>4</v>
      </c>
      <c r="AS15" s="21" t="str">
        <f>Übernahme_Werte!M17</f>
        <v>&lt;</v>
      </c>
      <c r="AT15" s="20">
        <f t="shared" ref="AT15:AT46" si="4">IFERROR(ROUND(AD15,BH15),"Prüfen!")</f>
        <v>4</v>
      </c>
      <c r="AU15" s="21" t="str">
        <f>Übernahme_Werte!O17</f>
        <v>&lt;</v>
      </c>
      <c r="AV15" s="20">
        <f t="shared" ref="AV15:AV46" si="5">IFERROR(ROUND(AF15,BJ15),"Prüfen!")</f>
        <v>4</v>
      </c>
      <c r="AW15" s="54"/>
      <c r="AX15" s="53"/>
      <c r="AY15" s="81"/>
      <c r="AZ15" s="1">
        <f t="shared" ref="AZ15:AZ46" si="6">IFERROR(IF(AK15="&lt;",IF(V15&lt;0.01,$BF$3,IF(V15&lt;0.1,$BD$3,$BB$3))-(1+INT(LOG10(ABS(V15)))),IF(V15&lt;0.01,$BF$2,IF(V15&lt;0.1,$BD$2,$BB$2))-(1+INT(LOG10(ABS(V15))))),7)</f>
        <v>0</v>
      </c>
      <c r="BB15" s="1">
        <f t="shared" ref="BB15:BB46" si="7">IFERROR(IF(AM15="&lt;",IF(X15&lt;0.01,$BF$3,IF(X15&lt;0.1,$BD$3,$BB$3))-(1+INT(LOG10(ABS(X15)))),IF(X15&lt;0.01,$BF$2,IF(X15&lt;0.1,$BD$2,$BB$2))-(1+INT(LOG10(ABS(X15))))),7)</f>
        <v>0</v>
      </c>
      <c r="BD15" s="1">
        <f t="shared" ref="BD15:BD46" si="8">IFERROR(IF(AO15="&lt;",IF(Z15&lt;0.01,$BF$3,IF(Z15&lt;0.1,$BD$3,$BB$3))-(1+INT(LOG10(ABS(Z15)))),IF(Z15&lt;0.01,$BF$2,IF(Z15&lt;0.1,$BD$2,$BB$2))-(1+INT(LOG10(ABS(Z15))))),7)</f>
        <v>0</v>
      </c>
      <c r="BF15" s="1">
        <f t="shared" ref="BF15:BF46" si="9">IFERROR(IF(AQ15="&lt;",IF(AB15&lt;0.01,$BF$3,IF(AB15&lt;0.1,$BD$3,$BB$3))-(1+INT(LOG10(ABS(AB15)))),IF(AB15&lt;0.01,$BF$2,IF(AB15&lt;0.1,$BD$2,$BB$2))-(1+INT(LOG10(ABS(AB15))))),7)</f>
        <v>0</v>
      </c>
      <c r="BH15" s="1">
        <f t="shared" ref="BH15:BH46" si="10">IFERROR(IF(AS15="&lt;",IF(AD15&lt;0.01,$BF$3,IF(AD15&lt;0.1,$BD$3,$BB$3))-(1+INT(LOG10(ABS(AD15)))),IF(AD15&lt;0.01,$BF$2,IF(AD15&lt;0.1,$BD$2,$BB$2))-(1+INT(LOG10(ABS(AD15))))),7)</f>
        <v>0</v>
      </c>
      <c r="BJ15" s="1">
        <f t="shared" ref="BJ15:BJ46" si="11">IFERROR(IF(AU15="&lt;",IF(AF15&lt;0.01,$BF$3,IF(AF15&lt;0.1,$BD$3,$BB$3))-(1+INT(LOG10(ABS(AF15)))),IF(AF15&lt;0.01,$BF$2,IF(AF15&lt;0.1,$BD$2,$BB$2))-(1+INT(LOG10(ABS(AF15))))),7)</f>
        <v>0</v>
      </c>
    </row>
    <row r="16" spans="1:62" x14ac:dyDescent="0.25">
      <c r="R16" s="266" t="str">
        <f>Übernahme_Werte!A18&amp;" (Mineralphase)"</f>
        <v>As (Mineralphase)</v>
      </c>
      <c r="T16" s="40" t="s">
        <v>20</v>
      </c>
      <c r="U16" s="21" t="str">
        <f>Übernahme_Werte!E18</f>
        <v xml:space="preserve"> </v>
      </c>
      <c r="V16" s="38">
        <f>Übernahme_Werte!F18*(1-(Übernahme_Werte!F$11+Übernahme_Werte!F$10))*(1-Übernahme_Werte!F$9)*(1-(Übernahme_Werte!F$6+Übernahme_Werte!F$8))</f>
        <v>90.681818181818173</v>
      </c>
      <c r="W16" s="21" t="str">
        <f>Übernahme_Werte!G18</f>
        <v xml:space="preserve"> </v>
      </c>
      <c r="X16" s="38">
        <f>Übernahme_Werte!H18*(1-(Übernahme_Werte!H$11+Übernahme_Werte!H$10))*(1-Übernahme_Werte!H$9)*(1-(Übernahme_Werte!H$6+Übernahme_Werte!H$8))</f>
        <v>89.818181818181813</v>
      </c>
      <c r="Y16" s="21" t="str">
        <f>Übernahme_Werte!I18</f>
        <v xml:space="preserve"> </v>
      </c>
      <c r="Z16" s="38">
        <f>Übernahme_Werte!J18*(1-(Übernahme_Werte!J$11+Übernahme_Werte!J$10))*(1-Übernahme_Werte!J$9)*(1-(Übernahme_Werte!J$6+Übernahme_Werte!J$8))</f>
        <v>89.818181818181813</v>
      </c>
      <c r="AA16" s="21" t="str">
        <f>Übernahme_Werte!K18</f>
        <v xml:space="preserve"> </v>
      </c>
      <c r="AB16" s="38">
        <f>Übernahme_Werte!L18*(1-(Übernahme_Werte!L$11+Übernahme_Werte!L$10))*(1-Übernahme_Werte!L$9)*(1-(Übernahme_Werte!L$6+Übernahme_Werte!L$8))</f>
        <v>89.818181818181813</v>
      </c>
      <c r="AC16" s="21" t="str">
        <f>Übernahme_Werte!M18</f>
        <v xml:space="preserve"> </v>
      </c>
      <c r="AD16" s="38">
        <f>Übernahme_Werte!N18*(1-(Übernahme_Werte!N$11+Übernahme_Werte!N$10))*(1-Übernahme_Werte!N$9)*(1-(Übernahme_Werte!N$6+Übernahme_Werte!N$8))</f>
        <v>89.818181818181813</v>
      </c>
      <c r="AE16" s="21" t="str">
        <f>Übernahme_Werte!O18</f>
        <v xml:space="preserve"> </v>
      </c>
      <c r="AF16" s="38">
        <f>Übernahme_Werte!P18*(1-(Übernahme_Werte!P$11+Übernahme_Werte!P$10))*(1-Übernahme_Werte!P$9)*(1-(Übernahme_Werte!P$6+Übernahme_Werte!P$8))</f>
        <v>89.818181818181813</v>
      </c>
      <c r="AG16" s="47"/>
      <c r="AH16" s="47"/>
      <c r="AI16" s="55" t="str">
        <f>Übernahme_Werte!A18</f>
        <v>As</v>
      </c>
      <c r="AJ16" s="40" t="s">
        <v>20</v>
      </c>
      <c r="AK16" s="21" t="str">
        <f>Übernahme_Werte!E18</f>
        <v xml:space="preserve"> </v>
      </c>
      <c r="AL16" s="20">
        <f t="shared" si="0"/>
        <v>90.7</v>
      </c>
      <c r="AM16" s="21" t="str">
        <f>Übernahme_Werte!G18</f>
        <v xml:space="preserve"> </v>
      </c>
      <c r="AN16" s="20">
        <f t="shared" si="1"/>
        <v>89.8</v>
      </c>
      <c r="AO16" s="21" t="str">
        <f>Übernahme_Werte!I18</f>
        <v xml:space="preserve"> </v>
      </c>
      <c r="AP16" s="20">
        <f t="shared" si="2"/>
        <v>89.8</v>
      </c>
      <c r="AQ16" s="21" t="str">
        <f>Übernahme_Werte!K18</f>
        <v xml:space="preserve"> </v>
      </c>
      <c r="AR16" s="20">
        <f t="shared" si="3"/>
        <v>89.8</v>
      </c>
      <c r="AS16" s="21" t="str">
        <f>Übernahme_Werte!M18</f>
        <v xml:space="preserve"> </v>
      </c>
      <c r="AT16" s="20">
        <f t="shared" si="4"/>
        <v>89.8</v>
      </c>
      <c r="AU16" s="21" t="str">
        <f>Übernahme_Werte!O18</f>
        <v xml:space="preserve"> </v>
      </c>
      <c r="AV16" s="20">
        <f t="shared" si="5"/>
        <v>89.8</v>
      </c>
      <c r="AW16" s="54"/>
      <c r="AX16" s="53"/>
      <c r="AY16" s="81"/>
      <c r="AZ16" s="1">
        <f t="shared" si="6"/>
        <v>1</v>
      </c>
      <c r="BB16" s="1">
        <f t="shared" si="7"/>
        <v>1</v>
      </c>
      <c r="BD16" s="1">
        <f t="shared" si="8"/>
        <v>1</v>
      </c>
      <c r="BF16" s="1">
        <f t="shared" si="9"/>
        <v>1</v>
      </c>
      <c r="BH16" s="1">
        <f t="shared" si="10"/>
        <v>1</v>
      </c>
      <c r="BJ16" s="1">
        <f t="shared" si="11"/>
        <v>1</v>
      </c>
    </row>
    <row r="17" spans="18:62" x14ac:dyDescent="0.25">
      <c r="R17" s="266" t="str">
        <f>Übernahme_Werte!A19&amp;" (Mineralphase)"</f>
        <v>B (Mineralphase)</v>
      </c>
      <c r="T17" s="40" t="s">
        <v>20</v>
      </c>
      <c r="U17" s="21" t="str">
        <f>Übernahme_Werte!E19</f>
        <v xml:space="preserve"> </v>
      </c>
      <c r="V17" s="38">
        <f>Übernahme_Werte!F19*(1-(Übernahme_Werte!F$11+Übernahme_Werte!F$10))*(1-Übernahme_Werte!F$9)*(1-(Übernahme_Werte!F$6+Übernahme_Werte!F$8))</f>
        <v>136.02272727272728</v>
      </c>
      <c r="W17" s="21" t="str">
        <f>Übernahme_Werte!G19</f>
        <v xml:space="preserve"> </v>
      </c>
      <c r="X17" s="38">
        <f>Übernahme_Werte!H19*(1-(Übernahme_Werte!H$11+Übernahme_Werte!H$10))*(1-Übernahme_Werte!H$9)*(1-(Übernahme_Werte!H$6+Übernahme_Werte!H$8))</f>
        <v>134.72727272727272</v>
      </c>
      <c r="Y17" s="21" t="str">
        <f>Übernahme_Werte!I19</f>
        <v xml:space="preserve"> </v>
      </c>
      <c r="Z17" s="38">
        <f>Übernahme_Werte!J19*(1-(Übernahme_Werte!J$11+Übernahme_Werte!J$10))*(1-Übernahme_Werte!J$9)*(1-(Übernahme_Werte!J$6+Übernahme_Werte!J$8))</f>
        <v>134.72727272727272</v>
      </c>
      <c r="AA17" s="21" t="str">
        <f>Übernahme_Werte!K19</f>
        <v xml:space="preserve"> </v>
      </c>
      <c r="AB17" s="38">
        <f>Übernahme_Werte!L19*(1-(Übernahme_Werte!L$11+Übernahme_Werte!L$10))*(1-Übernahme_Werte!L$9)*(1-(Übernahme_Werte!L$6+Übernahme_Werte!L$8))</f>
        <v>134.72727272727272</v>
      </c>
      <c r="AC17" s="21" t="str">
        <f>Übernahme_Werte!M19</f>
        <v xml:space="preserve"> </v>
      </c>
      <c r="AD17" s="38">
        <f>Übernahme_Werte!N19*(1-(Übernahme_Werte!N$11+Übernahme_Werte!N$10))*(1-Übernahme_Werte!N$9)*(1-(Übernahme_Werte!N$6+Übernahme_Werte!N$8))</f>
        <v>134.72727272727272</v>
      </c>
      <c r="AE17" s="21" t="str">
        <f>Übernahme_Werte!O19</f>
        <v xml:space="preserve"> </v>
      </c>
      <c r="AF17" s="38">
        <f>Übernahme_Werte!P19*(1-(Übernahme_Werte!P$11+Übernahme_Werte!P$10))*(1-Übernahme_Werte!P$9)*(1-(Übernahme_Werte!P$6+Übernahme_Werte!P$8))</f>
        <v>134.72727272727272</v>
      </c>
      <c r="AG17" s="47"/>
      <c r="AH17" s="47"/>
      <c r="AI17" s="55" t="str">
        <f>Übernahme_Werte!A19</f>
        <v>B</v>
      </c>
      <c r="AJ17" s="40" t="s">
        <v>20</v>
      </c>
      <c r="AK17" s="21" t="str">
        <f>Übernahme_Werte!E19</f>
        <v xml:space="preserve"> </v>
      </c>
      <c r="AL17" s="20">
        <f t="shared" si="0"/>
        <v>136</v>
      </c>
      <c r="AM17" s="21" t="str">
        <f>Übernahme_Werte!G19</f>
        <v xml:space="preserve"> </v>
      </c>
      <c r="AN17" s="20">
        <f t="shared" si="1"/>
        <v>135</v>
      </c>
      <c r="AO17" s="21" t="str">
        <f>Übernahme_Werte!I19</f>
        <v xml:space="preserve"> </v>
      </c>
      <c r="AP17" s="20">
        <f t="shared" si="2"/>
        <v>135</v>
      </c>
      <c r="AQ17" s="21" t="str">
        <f>Übernahme_Werte!K19</f>
        <v xml:space="preserve"> </v>
      </c>
      <c r="AR17" s="20">
        <f t="shared" si="3"/>
        <v>135</v>
      </c>
      <c r="AS17" s="21" t="str">
        <f>Übernahme_Werte!M19</f>
        <v xml:space="preserve"> </v>
      </c>
      <c r="AT17" s="20">
        <f t="shared" si="4"/>
        <v>135</v>
      </c>
      <c r="AU17" s="21" t="str">
        <f>Übernahme_Werte!O19</f>
        <v xml:space="preserve"> </v>
      </c>
      <c r="AV17" s="20">
        <f t="shared" si="5"/>
        <v>135</v>
      </c>
      <c r="AW17" s="39"/>
      <c r="AX17" s="9"/>
      <c r="AY17" s="81"/>
      <c r="AZ17" s="1">
        <f t="shared" si="6"/>
        <v>0</v>
      </c>
      <c r="BB17" s="1">
        <f t="shared" si="7"/>
        <v>0</v>
      </c>
      <c r="BD17" s="1">
        <f t="shared" si="8"/>
        <v>0</v>
      </c>
      <c r="BF17" s="1">
        <f t="shared" si="9"/>
        <v>0</v>
      </c>
      <c r="BH17" s="1">
        <f t="shared" si="10"/>
        <v>0</v>
      </c>
      <c r="BJ17" s="1">
        <f t="shared" si="11"/>
        <v>0</v>
      </c>
    </row>
    <row r="18" spans="18:62" x14ac:dyDescent="0.25">
      <c r="R18" s="266" t="str">
        <f>Übernahme_Werte!A20&amp;" (Mineralphase)"</f>
        <v>Ba (Mineralphase)</v>
      </c>
      <c r="T18" s="40" t="s">
        <v>20</v>
      </c>
      <c r="U18" s="21" t="str">
        <f>Übernahme_Werte!E20</f>
        <v xml:space="preserve"> </v>
      </c>
      <c r="V18" s="38">
        <f>Übernahme_Werte!F20*(1-(Übernahme_Werte!F$11+Übernahme_Werte!F$10))*(1-Übernahme_Werte!F$9)*(1-(Übernahme_Werte!F$6+Übernahme_Werte!F$8))</f>
        <v>181.36363636363635</v>
      </c>
      <c r="W18" s="21" t="str">
        <f>Übernahme_Werte!G20</f>
        <v xml:space="preserve"> </v>
      </c>
      <c r="X18" s="38">
        <f>Übernahme_Werte!H20*(1-(Übernahme_Werte!H$11+Übernahme_Werte!H$10))*(1-Übernahme_Werte!H$9)*(1-(Übernahme_Werte!H$6+Übernahme_Werte!H$8))</f>
        <v>179.63636363636363</v>
      </c>
      <c r="Y18" s="21" t="str">
        <f>Übernahme_Werte!I20</f>
        <v xml:space="preserve"> </v>
      </c>
      <c r="Z18" s="38">
        <f>Übernahme_Werte!J20*(1-(Übernahme_Werte!J$11+Übernahme_Werte!J$10))*(1-Übernahme_Werte!J$9)*(1-(Übernahme_Werte!J$6+Übernahme_Werte!J$8))</f>
        <v>179.63636363636363</v>
      </c>
      <c r="AA18" s="21" t="str">
        <f>Übernahme_Werte!K20</f>
        <v xml:space="preserve"> </v>
      </c>
      <c r="AB18" s="38">
        <f>Übernahme_Werte!L20*(1-(Übernahme_Werte!L$11+Übernahme_Werte!L$10))*(1-Übernahme_Werte!L$9)*(1-(Übernahme_Werte!L$6+Übernahme_Werte!L$8))</f>
        <v>179.63636363636363</v>
      </c>
      <c r="AC18" s="21" t="str">
        <f>Übernahme_Werte!M20</f>
        <v xml:space="preserve"> </v>
      </c>
      <c r="AD18" s="38">
        <f>Übernahme_Werte!N20*(1-(Übernahme_Werte!N$11+Übernahme_Werte!N$10))*(1-Übernahme_Werte!N$9)*(1-(Übernahme_Werte!N$6+Übernahme_Werte!N$8))</f>
        <v>179.63636363636363</v>
      </c>
      <c r="AE18" s="21" t="str">
        <f>Übernahme_Werte!O20</f>
        <v xml:space="preserve"> </v>
      </c>
      <c r="AF18" s="38">
        <f>Übernahme_Werte!P20*(1-(Übernahme_Werte!P$11+Übernahme_Werte!P$10))*(1-Übernahme_Werte!P$9)*(1-(Übernahme_Werte!P$6+Übernahme_Werte!P$8))</f>
        <v>179.63636363636363</v>
      </c>
      <c r="AG18" s="47"/>
      <c r="AH18" s="47"/>
      <c r="AI18" s="55" t="str">
        <f>Übernahme_Werte!A20</f>
        <v>Ba</v>
      </c>
      <c r="AJ18" s="40" t="s">
        <v>20</v>
      </c>
      <c r="AK18" s="21" t="str">
        <f>Übernahme_Werte!E20</f>
        <v xml:space="preserve"> </v>
      </c>
      <c r="AL18" s="20">
        <f t="shared" si="0"/>
        <v>181</v>
      </c>
      <c r="AM18" s="21" t="str">
        <f>Übernahme_Werte!G20</f>
        <v xml:space="preserve"> </v>
      </c>
      <c r="AN18" s="20">
        <f t="shared" si="1"/>
        <v>180</v>
      </c>
      <c r="AO18" s="21" t="str">
        <f>Übernahme_Werte!I20</f>
        <v xml:space="preserve"> </v>
      </c>
      <c r="AP18" s="20">
        <f t="shared" si="2"/>
        <v>180</v>
      </c>
      <c r="AQ18" s="21" t="str">
        <f>Übernahme_Werte!K20</f>
        <v xml:space="preserve"> </v>
      </c>
      <c r="AR18" s="20">
        <f t="shared" si="3"/>
        <v>180</v>
      </c>
      <c r="AS18" s="21" t="str">
        <f>Übernahme_Werte!M20</f>
        <v xml:space="preserve"> </v>
      </c>
      <c r="AT18" s="20">
        <f t="shared" si="4"/>
        <v>180</v>
      </c>
      <c r="AU18" s="21" t="str">
        <f>Übernahme_Werte!O20</f>
        <v xml:space="preserve"> </v>
      </c>
      <c r="AV18" s="20">
        <f t="shared" si="5"/>
        <v>180</v>
      </c>
      <c r="AW18" s="39"/>
      <c r="AX18" s="9"/>
      <c r="AY18" s="81"/>
      <c r="AZ18" s="1">
        <f t="shared" si="6"/>
        <v>0</v>
      </c>
      <c r="BB18" s="1">
        <f t="shared" si="7"/>
        <v>0</v>
      </c>
      <c r="BD18" s="1">
        <f t="shared" si="8"/>
        <v>0</v>
      </c>
      <c r="BF18" s="1">
        <f t="shared" si="9"/>
        <v>0</v>
      </c>
      <c r="BH18" s="1">
        <f t="shared" si="10"/>
        <v>0</v>
      </c>
      <c r="BJ18" s="1">
        <f t="shared" si="11"/>
        <v>0</v>
      </c>
    </row>
    <row r="19" spans="18:62" x14ac:dyDescent="0.25">
      <c r="R19" s="266" t="str">
        <f>Übernahme_Werte!A21&amp;" (Mineralphase)"</f>
        <v>Be (Mineralphase)</v>
      </c>
      <c r="T19" s="40" t="s">
        <v>20</v>
      </c>
      <c r="U19" s="21" t="str">
        <f>Übernahme_Werte!E21</f>
        <v xml:space="preserve"> </v>
      </c>
      <c r="V19" s="38">
        <f>Übernahme_Werte!F21*(1-(Übernahme_Werte!F$11+Übernahme_Werte!F$10))*(1-Übernahme_Werte!F$9)*(1-(Übernahme_Werte!F$6+Übernahme_Werte!F$8))</f>
        <v>226.70454545454544</v>
      </c>
      <c r="W19" s="21" t="str">
        <f>Übernahme_Werte!G21</f>
        <v xml:space="preserve"> </v>
      </c>
      <c r="X19" s="38">
        <f>Übernahme_Werte!H21*(1-(Übernahme_Werte!H$11+Übernahme_Werte!H$10))*(1-Übernahme_Werte!H$9)*(1-(Übernahme_Werte!H$6+Übernahme_Werte!H$8))</f>
        <v>224.54545454545453</v>
      </c>
      <c r="Y19" s="21" t="str">
        <f>Übernahme_Werte!I21</f>
        <v xml:space="preserve"> </v>
      </c>
      <c r="Z19" s="38">
        <f>Übernahme_Werte!J21*(1-(Übernahme_Werte!J$11+Übernahme_Werte!J$10))*(1-Übernahme_Werte!J$9)*(1-(Übernahme_Werte!J$6+Übernahme_Werte!J$8))</f>
        <v>224.54545454545453</v>
      </c>
      <c r="AA19" s="21" t="str">
        <f>Übernahme_Werte!K21</f>
        <v xml:space="preserve"> </v>
      </c>
      <c r="AB19" s="38">
        <f>Übernahme_Werte!L21*(1-(Übernahme_Werte!L$11+Übernahme_Werte!L$10))*(1-Übernahme_Werte!L$9)*(1-(Übernahme_Werte!L$6+Übernahme_Werte!L$8))</f>
        <v>224.54545454545453</v>
      </c>
      <c r="AC19" s="21" t="str">
        <f>Übernahme_Werte!M21</f>
        <v xml:space="preserve"> </v>
      </c>
      <c r="AD19" s="38">
        <f>Übernahme_Werte!N21*(1-(Übernahme_Werte!N$11+Übernahme_Werte!N$10))*(1-Übernahme_Werte!N$9)*(1-(Übernahme_Werte!N$6+Übernahme_Werte!N$8))</f>
        <v>224.54545454545453</v>
      </c>
      <c r="AE19" s="21" t="str">
        <f>Übernahme_Werte!O21</f>
        <v xml:space="preserve"> </v>
      </c>
      <c r="AF19" s="38">
        <f>Übernahme_Werte!P21*(1-(Übernahme_Werte!P$11+Übernahme_Werte!P$10))*(1-Übernahme_Werte!P$9)*(1-(Übernahme_Werte!P$6+Übernahme_Werte!P$8))</f>
        <v>224.54545454545453</v>
      </c>
      <c r="AG19" s="47"/>
      <c r="AH19" s="47"/>
      <c r="AI19" s="55" t="str">
        <f>Übernahme_Werte!A21</f>
        <v>Be</v>
      </c>
      <c r="AJ19" s="40" t="s">
        <v>20</v>
      </c>
      <c r="AK19" s="21" t="str">
        <f>Übernahme_Werte!E21</f>
        <v xml:space="preserve"> </v>
      </c>
      <c r="AL19" s="20">
        <f t="shared" si="0"/>
        <v>227</v>
      </c>
      <c r="AM19" s="21" t="str">
        <f>Übernahme_Werte!G21</f>
        <v xml:space="preserve"> </v>
      </c>
      <c r="AN19" s="20">
        <f t="shared" si="1"/>
        <v>225</v>
      </c>
      <c r="AO19" s="21" t="str">
        <f>Übernahme_Werte!I21</f>
        <v xml:space="preserve"> </v>
      </c>
      <c r="AP19" s="20">
        <f t="shared" si="2"/>
        <v>225</v>
      </c>
      <c r="AQ19" s="21" t="str">
        <f>Übernahme_Werte!K21</f>
        <v xml:space="preserve"> </v>
      </c>
      <c r="AR19" s="20">
        <f t="shared" si="3"/>
        <v>225</v>
      </c>
      <c r="AS19" s="21" t="str">
        <f>Übernahme_Werte!M21</f>
        <v xml:space="preserve"> </v>
      </c>
      <c r="AT19" s="20">
        <f t="shared" si="4"/>
        <v>225</v>
      </c>
      <c r="AU19" s="21" t="str">
        <f>Übernahme_Werte!O21</f>
        <v xml:space="preserve"> </v>
      </c>
      <c r="AV19" s="20">
        <f t="shared" si="5"/>
        <v>225</v>
      </c>
      <c r="AW19" s="39"/>
      <c r="AX19" s="9"/>
      <c r="AY19" s="81"/>
      <c r="AZ19" s="1">
        <f t="shared" si="6"/>
        <v>0</v>
      </c>
      <c r="BB19" s="1">
        <f t="shared" si="7"/>
        <v>0</v>
      </c>
      <c r="BD19" s="1">
        <f t="shared" si="8"/>
        <v>0</v>
      </c>
      <c r="BF19" s="1">
        <f t="shared" si="9"/>
        <v>0</v>
      </c>
      <c r="BH19" s="1">
        <f t="shared" si="10"/>
        <v>0</v>
      </c>
      <c r="BJ19" s="1">
        <f t="shared" si="11"/>
        <v>0</v>
      </c>
    </row>
    <row r="20" spans="18:62" x14ac:dyDescent="0.25">
      <c r="R20" s="266" t="str">
        <f>Übernahme_Werte!A22&amp;" (Mineralphase)"</f>
        <v>Br (Mineralphase)</v>
      </c>
      <c r="T20" s="40" t="s">
        <v>20</v>
      </c>
      <c r="U20" s="21" t="str">
        <f>Übernahme_Werte!E22</f>
        <v xml:space="preserve"> </v>
      </c>
      <c r="V20" s="38">
        <f>Übernahme_Werte!F22*(1-(Übernahme_Werte!F$11+Übernahme_Werte!F$10))*(1-Übernahme_Werte!F$9)*(1-(Übernahme_Werte!F$6+Übernahme_Werte!F$8))</f>
        <v>90.681818181818173</v>
      </c>
      <c r="W20" s="21" t="str">
        <f>Übernahme_Werte!G22</f>
        <v xml:space="preserve"> </v>
      </c>
      <c r="X20" s="38">
        <f>Übernahme_Werte!H22*(1-(Übernahme_Werte!H$11+Übernahme_Werte!H$10))*(1-Übernahme_Werte!H$9)*(1-(Übernahme_Werte!H$6+Übernahme_Werte!H$8))</f>
        <v>89.818181818181813</v>
      </c>
      <c r="Y20" s="21" t="str">
        <f>Übernahme_Werte!I22</f>
        <v xml:space="preserve"> </v>
      </c>
      <c r="Z20" s="38">
        <f>Übernahme_Werte!J22*(1-(Übernahme_Werte!J$11+Übernahme_Werte!J$10))*(1-Übernahme_Werte!J$9)*(1-(Übernahme_Werte!J$6+Übernahme_Werte!J$8))</f>
        <v>89.818181818181813</v>
      </c>
      <c r="AA20" s="21" t="str">
        <f>Übernahme_Werte!K22</f>
        <v xml:space="preserve"> </v>
      </c>
      <c r="AB20" s="38">
        <f>Übernahme_Werte!L22*(1-(Übernahme_Werte!L$11+Übernahme_Werte!L$10))*(1-Übernahme_Werte!L$9)*(1-(Übernahme_Werte!L$6+Übernahme_Werte!L$8))</f>
        <v>89.818181818181813</v>
      </c>
      <c r="AC20" s="21" t="str">
        <f>Übernahme_Werte!M22</f>
        <v xml:space="preserve"> </v>
      </c>
      <c r="AD20" s="38">
        <f>Übernahme_Werte!N22*(1-(Übernahme_Werte!N$11+Übernahme_Werte!N$10))*(1-Übernahme_Werte!N$9)*(1-(Übernahme_Werte!N$6+Übernahme_Werte!N$8))</f>
        <v>89.818181818181813</v>
      </c>
      <c r="AE20" s="21" t="str">
        <f>Übernahme_Werte!O22</f>
        <v xml:space="preserve"> </v>
      </c>
      <c r="AF20" s="38">
        <f>Übernahme_Werte!P22*(1-(Übernahme_Werte!P$11+Übernahme_Werte!P$10))*(1-Übernahme_Werte!P$9)*(1-(Übernahme_Werte!P$6+Übernahme_Werte!P$8))</f>
        <v>89.818181818181813</v>
      </c>
      <c r="AG20" s="47"/>
      <c r="AH20" s="47"/>
      <c r="AI20" s="55" t="str">
        <f>Übernahme_Werte!A22</f>
        <v>Br</v>
      </c>
      <c r="AJ20" s="40" t="s">
        <v>20</v>
      </c>
      <c r="AK20" s="21" t="str">
        <f>Übernahme_Werte!E22</f>
        <v xml:space="preserve"> </v>
      </c>
      <c r="AL20" s="20">
        <f t="shared" si="0"/>
        <v>90.7</v>
      </c>
      <c r="AM20" s="21" t="str">
        <f>Übernahme_Werte!G22</f>
        <v xml:space="preserve"> </v>
      </c>
      <c r="AN20" s="20">
        <f t="shared" si="1"/>
        <v>89.8</v>
      </c>
      <c r="AO20" s="21" t="str">
        <f>Übernahme_Werte!I22</f>
        <v xml:space="preserve"> </v>
      </c>
      <c r="AP20" s="20">
        <f t="shared" si="2"/>
        <v>89.8</v>
      </c>
      <c r="AQ20" s="21" t="str">
        <f>Übernahme_Werte!K22</f>
        <v xml:space="preserve"> </v>
      </c>
      <c r="AR20" s="20">
        <f t="shared" si="3"/>
        <v>89.8</v>
      </c>
      <c r="AS20" s="21" t="str">
        <f>Übernahme_Werte!M22</f>
        <v xml:space="preserve"> </v>
      </c>
      <c r="AT20" s="20">
        <f t="shared" si="4"/>
        <v>89.8</v>
      </c>
      <c r="AU20" s="21" t="str">
        <f>Übernahme_Werte!O22</f>
        <v xml:space="preserve"> </v>
      </c>
      <c r="AV20" s="20">
        <f t="shared" si="5"/>
        <v>89.8</v>
      </c>
      <c r="AW20" s="39"/>
      <c r="AX20" s="9"/>
      <c r="AY20" s="81"/>
      <c r="AZ20" s="1">
        <f t="shared" si="6"/>
        <v>1</v>
      </c>
      <c r="BB20" s="1">
        <f t="shared" si="7"/>
        <v>1</v>
      </c>
      <c r="BD20" s="1">
        <f t="shared" si="8"/>
        <v>1</v>
      </c>
      <c r="BF20" s="1">
        <f t="shared" si="9"/>
        <v>1</v>
      </c>
      <c r="BH20" s="1">
        <f t="shared" si="10"/>
        <v>1</v>
      </c>
      <c r="BJ20" s="1">
        <f t="shared" si="11"/>
        <v>1</v>
      </c>
    </row>
    <row r="21" spans="18:62" x14ac:dyDescent="0.25">
      <c r="R21" s="266" t="str">
        <f>Übernahme_Werte!A23&amp;" (Mineralphase)"</f>
        <v>Ca (Mineralphase)</v>
      </c>
      <c r="T21" s="40" t="s">
        <v>20</v>
      </c>
      <c r="U21" s="21" t="str">
        <f>Übernahme_Werte!E23</f>
        <v xml:space="preserve"> </v>
      </c>
      <c r="V21" s="38">
        <f>Übernahme_Werte!F23*(1-(Übernahme_Werte!F$11+Übernahme_Werte!F$10))*(1-Übernahme_Werte!F$9)*(1-(Übernahme_Werte!F$6+Übernahme_Werte!F$8))</f>
        <v>1133.5227272727273</v>
      </c>
      <c r="W21" s="21" t="str">
        <f>Übernahme_Werte!G23</f>
        <v xml:space="preserve"> </v>
      </c>
      <c r="X21" s="38">
        <f>Übernahme_Werte!H23*(1-(Übernahme_Werte!H$11+Übernahme_Werte!H$10))*(1-Übernahme_Werte!H$9)*(1-(Übernahme_Werte!H$6+Übernahme_Werte!H$8))</f>
        <v>1122.7272727272727</v>
      </c>
      <c r="Y21" s="21" t="str">
        <f>Übernahme_Werte!I23</f>
        <v xml:space="preserve"> </v>
      </c>
      <c r="Z21" s="38">
        <f>Übernahme_Werte!J23*(1-(Übernahme_Werte!J$11+Übernahme_Werte!J$10))*(1-Übernahme_Werte!J$9)*(1-(Übernahme_Werte!J$6+Übernahme_Werte!J$8))</f>
        <v>1122.7272727272727</v>
      </c>
      <c r="AA21" s="21" t="str">
        <f>Übernahme_Werte!K23</f>
        <v xml:space="preserve"> </v>
      </c>
      <c r="AB21" s="38">
        <f>Übernahme_Werte!L23*(1-(Übernahme_Werte!L$11+Übernahme_Werte!L$10))*(1-Übernahme_Werte!L$9)*(1-(Übernahme_Werte!L$6+Übernahme_Werte!L$8))</f>
        <v>1122.7272727272727</v>
      </c>
      <c r="AC21" s="21" t="str">
        <f>Übernahme_Werte!M23</f>
        <v xml:space="preserve"> </v>
      </c>
      <c r="AD21" s="38">
        <f>Übernahme_Werte!N23*(1-(Übernahme_Werte!N$11+Übernahme_Werte!N$10))*(1-Übernahme_Werte!N$9)*(1-(Übernahme_Werte!N$6+Übernahme_Werte!N$8))</f>
        <v>1122.7272727272727</v>
      </c>
      <c r="AE21" s="21" t="str">
        <f>Übernahme_Werte!O23</f>
        <v xml:space="preserve"> </v>
      </c>
      <c r="AF21" s="38">
        <f>Übernahme_Werte!P23*(1-(Übernahme_Werte!P$11+Übernahme_Werte!P$10))*(1-Übernahme_Werte!P$9)*(1-(Übernahme_Werte!P$6+Übernahme_Werte!P$8))</f>
        <v>1122.7272727272727</v>
      </c>
      <c r="AG21" s="47"/>
      <c r="AH21" s="47"/>
      <c r="AI21" s="55" t="str">
        <f>Übernahme_Werte!A23</f>
        <v>Ca</v>
      </c>
      <c r="AJ21" s="40" t="s">
        <v>20</v>
      </c>
      <c r="AK21" s="21" t="str">
        <f>Übernahme_Werte!E23</f>
        <v xml:space="preserve"> </v>
      </c>
      <c r="AL21" s="20">
        <f t="shared" si="0"/>
        <v>1130</v>
      </c>
      <c r="AM21" s="21" t="str">
        <f>Übernahme_Werte!G23</f>
        <v xml:space="preserve"> </v>
      </c>
      <c r="AN21" s="20">
        <f t="shared" si="1"/>
        <v>1120</v>
      </c>
      <c r="AO21" s="21" t="str">
        <f>Übernahme_Werte!I23</f>
        <v xml:space="preserve"> </v>
      </c>
      <c r="AP21" s="20">
        <f t="shared" si="2"/>
        <v>1120</v>
      </c>
      <c r="AQ21" s="21" t="str">
        <f>Übernahme_Werte!K23</f>
        <v xml:space="preserve"> </v>
      </c>
      <c r="AR21" s="20">
        <f t="shared" si="3"/>
        <v>1120</v>
      </c>
      <c r="AS21" s="21" t="str">
        <f>Übernahme_Werte!M23</f>
        <v xml:space="preserve"> </v>
      </c>
      <c r="AT21" s="20">
        <f t="shared" si="4"/>
        <v>1120</v>
      </c>
      <c r="AU21" s="21" t="str">
        <f>Übernahme_Werte!O23</f>
        <v xml:space="preserve"> </v>
      </c>
      <c r="AV21" s="20">
        <f t="shared" si="5"/>
        <v>1120</v>
      </c>
      <c r="AW21" s="54"/>
      <c r="AX21" s="53"/>
      <c r="AY21" s="81"/>
      <c r="AZ21" s="1">
        <f t="shared" si="6"/>
        <v>-1</v>
      </c>
      <c r="BB21" s="1">
        <f t="shared" si="7"/>
        <v>-1</v>
      </c>
      <c r="BD21" s="1">
        <f t="shared" si="8"/>
        <v>-1</v>
      </c>
      <c r="BF21" s="1">
        <f t="shared" si="9"/>
        <v>-1</v>
      </c>
      <c r="BH21" s="1">
        <f t="shared" si="10"/>
        <v>-1</v>
      </c>
      <c r="BJ21" s="1">
        <f t="shared" si="11"/>
        <v>-1</v>
      </c>
    </row>
    <row r="22" spans="18:62" x14ac:dyDescent="0.25">
      <c r="R22" s="266" t="str">
        <f>Übernahme_Werte!A24&amp;" (Mineralphase)"</f>
        <v>Cd (Mineralphase)</v>
      </c>
      <c r="T22" s="40" t="s">
        <v>20</v>
      </c>
      <c r="U22" s="21" t="str">
        <f>Übernahme_Werte!E24</f>
        <v xml:space="preserve"> </v>
      </c>
      <c r="V22" s="38">
        <f>Übernahme_Werte!F24*(1-(Übernahme_Werte!F$11+Übernahme_Werte!F$10))*(1-Übernahme_Werte!F$9)*(1-(Übernahme_Werte!F$6+Übernahme_Werte!F$8))</f>
        <v>272.04545454545456</v>
      </c>
      <c r="W22" s="21" t="str">
        <f>Übernahme_Werte!G24</f>
        <v xml:space="preserve"> </v>
      </c>
      <c r="X22" s="38">
        <f>Übernahme_Werte!H24*(1-(Übernahme_Werte!H$11+Übernahme_Werte!H$10))*(1-Übernahme_Werte!H$9)*(1-(Übernahme_Werte!H$6+Übernahme_Werte!H$8))</f>
        <v>269.45454545454544</v>
      </c>
      <c r="Y22" s="21" t="str">
        <f>Übernahme_Werte!I24</f>
        <v xml:space="preserve"> </v>
      </c>
      <c r="Z22" s="38">
        <f>Übernahme_Werte!J24*(1-(Übernahme_Werte!J$11+Übernahme_Werte!J$10))*(1-Übernahme_Werte!J$9)*(1-(Übernahme_Werte!J$6+Übernahme_Werte!J$8))</f>
        <v>269.45454545454544</v>
      </c>
      <c r="AA22" s="21" t="str">
        <f>Übernahme_Werte!K24</f>
        <v xml:space="preserve"> </v>
      </c>
      <c r="AB22" s="38">
        <f>Übernahme_Werte!L24*(1-(Übernahme_Werte!L$11+Übernahme_Werte!L$10))*(1-Übernahme_Werte!L$9)*(1-(Übernahme_Werte!L$6+Übernahme_Werte!L$8))</f>
        <v>269.45454545454544</v>
      </c>
      <c r="AC22" s="21" t="str">
        <f>Übernahme_Werte!M24</f>
        <v xml:space="preserve"> </v>
      </c>
      <c r="AD22" s="38">
        <f>Übernahme_Werte!N24*(1-(Übernahme_Werte!N$11+Übernahme_Werte!N$10))*(1-Übernahme_Werte!N$9)*(1-(Übernahme_Werte!N$6+Übernahme_Werte!N$8))</f>
        <v>269.45454545454544</v>
      </c>
      <c r="AE22" s="21" t="str">
        <f>Übernahme_Werte!O24</f>
        <v xml:space="preserve"> </v>
      </c>
      <c r="AF22" s="38">
        <f>Übernahme_Werte!P24*(1-(Übernahme_Werte!P$11+Übernahme_Werte!P$10))*(1-Übernahme_Werte!P$9)*(1-(Übernahme_Werte!P$6+Übernahme_Werte!P$8))</f>
        <v>269.45454545454544</v>
      </c>
      <c r="AG22" s="47"/>
      <c r="AH22" s="47"/>
      <c r="AI22" s="55" t="str">
        <f>Übernahme_Werte!A24</f>
        <v>Cd</v>
      </c>
      <c r="AJ22" s="40" t="s">
        <v>20</v>
      </c>
      <c r="AK22" s="21" t="str">
        <f>Übernahme_Werte!E24</f>
        <v xml:space="preserve"> </v>
      </c>
      <c r="AL22" s="20">
        <f t="shared" si="0"/>
        <v>272</v>
      </c>
      <c r="AM22" s="21" t="str">
        <f>Übernahme_Werte!G24</f>
        <v xml:space="preserve"> </v>
      </c>
      <c r="AN22" s="20">
        <f t="shared" si="1"/>
        <v>269</v>
      </c>
      <c r="AO22" s="21" t="str">
        <f>Übernahme_Werte!I24</f>
        <v xml:space="preserve"> </v>
      </c>
      <c r="AP22" s="20">
        <f t="shared" si="2"/>
        <v>269</v>
      </c>
      <c r="AQ22" s="21" t="str">
        <f>Übernahme_Werte!K24</f>
        <v xml:space="preserve"> </v>
      </c>
      <c r="AR22" s="20">
        <f t="shared" si="3"/>
        <v>269</v>
      </c>
      <c r="AS22" s="21" t="str">
        <f>Übernahme_Werte!M24</f>
        <v xml:space="preserve"> </v>
      </c>
      <c r="AT22" s="20">
        <f t="shared" si="4"/>
        <v>269</v>
      </c>
      <c r="AU22" s="21" t="str">
        <f>Übernahme_Werte!O24</f>
        <v xml:space="preserve"> </v>
      </c>
      <c r="AV22" s="20">
        <f t="shared" si="5"/>
        <v>269</v>
      </c>
      <c r="AW22" s="54"/>
      <c r="AX22" s="53"/>
      <c r="AY22" s="81"/>
      <c r="AZ22" s="1">
        <f t="shared" si="6"/>
        <v>0</v>
      </c>
      <c r="BB22" s="1">
        <f t="shared" si="7"/>
        <v>0</v>
      </c>
      <c r="BD22" s="1">
        <f t="shared" si="8"/>
        <v>0</v>
      </c>
      <c r="BF22" s="1">
        <f t="shared" si="9"/>
        <v>0</v>
      </c>
      <c r="BH22" s="1">
        <f t="shared" si="10"/>
        <v>0</v>
      </c>
      <c r="BJ22" s="1">
        <f t="shared" si="11"/>
        <v>0</v>
      </c>
    </row>
    <row r="23" spans="18:62" x14ac:dyDescent="0.25">
      <c r="R23" s="266" t="str">
        <f>Übernahme_Werte!A25&amp;" (Mineralphase)"</f>
        <v>Co (Mineralphase)</v>
      </c>
      <c r="T23" s="40" t="s">
        <v>20</v>
      </c>
      <c r="U23" s="21" t="str">
        <f>Übernahme_Werte!E25</f>
        <v xml:space="preserve"> </v>
      </c>
      <c r="V23" s="38">
        <f>Übernahme_Werte!F25*(1-(Übernahme_Werte!F$11+Übernahme_Werte!F$10))*(1-Übernahme_Werte!F$9)*(1-(Übernahme_Werte!F$6+Übernahme_Werte!F$8))</f>
        <v>317.38636363636363</v>
      </c>
      <c r="W23" s="21" t="str">
        <f>Übernahme_Werte!G25</f>
        <v xml:space="preserve"> </v>
      </c>
      <c r="X23" s="38">
        <f>Übernahme_Werte!H25*(1-(Übernahme_Werte!H$11+Übernahme_Werte!H$10))*(1-Übernahme_Werte!H$9)*(1-(Übernahme_Werte!H$6+Übernahme_Werte!H$8))</f>
        <v>314.36363636363637</v>
      </c>
      <c r="Y23" s="21" t="str">
        <f>Übernahme_Werte!I25</f>
        <v xml:space="preserve"> </v>
      </c>
      <c r="Z23" s="38">
        <f>Übernahme_Werte!J25*(1-(Übernahme_Werte!J$11+Übernahme_Werte!J$10))*(1-Übernahme_Werte!J$9)*(1-(Übernahme_Werte!J$6+Übernahme_Werte!J$8))</f>
        <v>314.36363636363637</v>
      </c>
      <c r="AA23" s="21" t="str">
        <f>Übernahme_Werte!K25</f>
        <v xml:space="preserve"> </v>
      </c>
      <c r="AB23" s="38">
        <f>Übernahme_Werte!L25*(1-(Übernahme_Werte!L$11+Übernahme_Werte!L$10))*(1-Übernahme_Werte!L$9)*(1-(Übernahme_Werte!L$6+Übernahme_Werte!L$8))</f>
        <v>314.36363636363637</v>
      </c>
      <c r="AC23" s="21" t="str">
        <f>Übernahme_Werte!M25</f>
        <v xml:space="preserve"> </v>
      </c>
      <c r="AD23" s="38">
        <f>Übernahme_Werte!N25*(1-(Übernahme_Werte!N$11+Übernahme_Werte!N$10))*(1-Übernahme_Werte!N$9)*(1-(Übernahme_Werte!N$6+Übernahme_Werte!N$8))</f>
        <v>314.36363636363637</v>
      </c>
      <c r="AE23" s="21" t="str">
        <f>Übernahme_Werte!O25</f>
        <v xml:space="preserve"> </v>
      </c>
      <c r="AF23" s="38">
        <f>Übernahme_Werte!P25*(1-(Übernahme_Werte!P$11+Übernahme_Werte!P$10))*(1-Übernahme_Werte!P$9)*(1-(Übernahme_Werte!P$6+Übernahme_Werte!P$8))</f>
        <v>314.36363636363637</v>
      </c>
      <c r="AG23" s="47"/>
      <c r="AH23" s="47"/>
      <c r="AI23" s="55" t="str">
        <f>Übernahme_Werte!A25</f>
        <v>Co</v>
      </c>
      <c r="AJ23" s="40" t="s">
        <v>20</v>
      </c>
      <c r="AK23" s="21" t="str">
        <f>Übernahme_Werte!E25</f>
        <v xml:space="preserve"> </v>
      </c>
      <c r="AL23" s="20">
        <f t="shared" si="0"/>
        <v>317</v>
      </c>
      <c r="AM23" s="21" t="str">
        <f>Übernahme_Werte!G25</f>
        <v xml:space="preserve"> </v>
      </c>
      <c r="AN23" s="20">
        <f t="shared" si="1"/>
        <v>314</v>
      </c>
      <c r="AO23" s="21" t="str">
        <f>Übernahme_Werte!I25</f>
        <v xml:space="preserve"> </v>
      </c>
      <c r="AP23" s="20">
        <f t="shared" si="2"/>
        <v>314</v>
      </c>
      <c r="AQ23" s="21" t="str">
        <f>Übernahme_Werte!K25</f>
        <v xml:space="preserve"> </v>
      </c>
      <c r="AR23" s="20">
        <f t="shared" si="3"/>
        <v>314</v>
      </c>
      <c r="AS23" s="21" t="str">
        <f>Übernahme_Werte!M25</f>
        <v xml:space="preserve"> </v>
      </c>
      <c r="AT23" s="20">
        <f t="shared" si="4"/>
        <v>314</v>
      </c>
      <c r="AU23" s="21" t="str">
        <f>Übernahme_Werte!O25</f>
        <v xml:space="preserve"> </v>
      </c>
      <c r="AV23" s="20">
        <f t="shared" si="5"/>
        <v>314</v>
      </c>
      <c r="AW23" s="39"/>
      <c r="AX23" s="9"/>
      <c r="AY23" s="81"/>
      <c r="AZ23" s="1">
        <f t="shared" si="6"/>
        <v>0</v>
      </c>
      <c r="BB23" s="1">
        <f t="shared" si="7"/>
        <v>0</v>
      </c>
      <c r="BD23" s="1">
        <f t="shared" si="8"/>
        <v>0</v>
      </c>
      <c r="BF23" s="1">
        <f t="shared" si="9"/>
        <v>0</v>
      </c>
      <c r="BH23" s="1">
        <f t="shared" si="10"/>
        <v>0</v>
      </c>
      <c r="BJ23" s="1">
        <f t="shared" si="11"/>
        <v>0</v>
      </c>
    </row>
    <row r="24" spans="18:62" x14ac:dyDescent="0.25">
      <c r="R24" s="266" t="str">
        <f>Übernahme_Werte!A26&amp;" (Mineralphase)"</f>
        <v>Cr_ges. (Mineralphase)</v>
      </c>
      <c r="T24" s="40" t="s">
        <v>20</v>
      </c>
      <c r="U24" s="21" t="str">
        <f>Übernahme_Werte!E26</f>
        <v xml:space="preserve"> </v>
      </c>
      <c r="V24" s="38">
        <f>Übernahme_Werte!F26*(1-(Übernahme_Werte!F$11+Übernahme_Werte!F$10))*(1-Übernahme_Werte!F$9)*(1-(Übernahme_Werte!F$6+Übernahme_Werte!F$8))</f>
        <v>362.72727272727269</v>
      </c>
      <c r="W24" s="21" t="str">
        <f>Übernahme_Werte!G26</f>
        <v xml:space="preserve"> </v>
      </c>
      <c r="X24" s="38">
        <f>Übernahme_Werte!H26*(1-(Übernahme_Werte!H$11+Übernahme_Werte!H$10))*(1-Übernahme_Werte!H$9)*(1-(Übernahme_Werte!H$6+Übernahme_Werte!H$8))</f>
        <v>359.27272727272725</v>
      </c>
      <c r="Y24" s="21" t="str">
        <f>Übernahme_Werte!I26</f>
        <v xml:space="preserve"> </v>
      </c>
      <c r="Z24" s="38">
        <f>Übernahme_Werte!J26*(1-(Übernahme_Werte!J$11+Übernahme_Werte!J$10))*(1-Übernahme_Werte!J$9)*(1-(Übernahme_Werte!J$6+Übernahme_Werte!J$8))</f>
        <v>359.27272727272725</v>
      </c>
      <c r="AA24" s="21" t="str">
        <f>Übernahme_Werte!K26</f>
        <v xml:space="preserve"> </v>
      </c>
      <c r="AB24" s="38">
        <f>Übernahme_Werte!L26*(1-(Übernahme_Werte!L$11+Übernahme_Werte!L$10))*(1-Übernahme_Werte!L$9)*(1-(Übernahme_Werte!L$6+Übernahme_Werte!L$8))</f>
        <v>359.27272727272725</v>
      </c>
      <c r="AC24" s="21" t="str">
        <f>Übernahme_Werte!M26</f>
        <v xml:space="preserve"> </v>
      </c>
      <c r="AD24" s="38">
        <f>Übernahme_Werte!N26*(1-(Übernahme_Werte!N$11+Übernahme_Werte!N$10))*(1-Übernahme_Werte!N$9)*(1-(Übernahme_Werte!N$6+Übernahme_Werte!N$8))</f>
        <v>359.27272727272725</v>
      </c>
      <c r="AE24" s="21" t="str">
        <f>Übernahme_Werte!O26</f>
        <v xml:space="preserve"> </v>
      </c>
      <c r="AF24" s="38">
        <f>Übernahme_Werte!P26*(1-(Übernahme_Werte!P$11+Übernahme_Werte!P$10))*(1-Übernahme_Werte!P$9)*(1-(Übernahme_Werte!P$6+Übernahme_Werte!P$8))</f>
        <v>359.27272727272725</v>
      </c>
      <c r="AG24" s="47"/>
      <c r="AH24" s="47"/>
      <c r="AI24" s="55" t="str">
        <f>Übernahme_Werte!A26</f>
        <v>Cr_ges.</v>
      </c>
      <c r="AJ24" s="40" t="s">
        <v>20</v>
      </c>
      <c r="AK24" s="21" t="str">
        <f>Übernahme_Werte!E26</f>
        <v xml:space="preserve"> </v>
      </c>
      <c r="AL24" s="20">
        <f t="shared" si="0"/>
        <v>363</v>
      </c>
      <c r="AM24" s="21" t="str">
        <f>Übernahme_Werte!G26</f>
        <v xml:space="preserve"> </v>
      </c>
      <c r="AN24" s="20">
        <f t="shared" si="1"/>
        <v>359</v>
      </c>
      <c r="AO24" s="21" t="str">
        <f>Übernahme_Werte!I26</f>
        <v xml:space="preserve"> </v>
      </c>
      <c r="AP24" s="20">
        <f t="shared" si="2"/>
        <v>359</v>
      </c>
      <c r="AQ24" s="21" t="str">
        <f>Übernahme_Werte!K26</f>
        <v xml:space="preserve"> </v>
      </c>
      <c r="AR24" s="20">
        <f t="shared" si="3"/>
        <v>359</v>
      </c>
      <c r="AS24" s="21" t="str">
        <f>Übernahme_Werte!M26</f>
        <v xml:space="preserve"> </v>
      </c>
      <c r="AT24" s="20">
        <f t="shared" si="4"/>
        <v>359</v>
      </c>
      <c r="AU24" s="21" t="str">
        <f>Übernahme_Werte!O26</f>
        <v xml:space="preserve"> </v>
      </c>
      <c r="AV24" s="20">
        <f t="shared" si="5"/>
        <v>359</v>
      </c>
      <c r="AW24" s="39"/>
      <c r="AX24" s="9"/>
      <c r="AY24" s="280"/>
      <c r="AZ24" s="1">
        <f t="shared" si="6"/>
        <v>0</v>
      </c>
      <c r="BB24" s="1">
        <f t="shared" si="7"/>
        <v>0</v>
      </c>
      <c r="BD24" s="1">
        <f t="shared" si="8"/>
        <v>0</v>
      </c>
      <c r="BF24" s="1">
        <f t="shared" si="9"/>
        <v>0</v>
      </c>
      <c r="BH24" s="1">
        <f t="shared" si="10"/>
        <v>0</v>
      </c>
      <c r="BJ24" s="1">
        <f t="shared" si="11"/>
        <v>0</v>
      </c>
    </row>
    <row r="25" spans="18:62" x14ac:dyDescent="0.25">
      <c r="R25" s="266" t="str">
        <f>Übernahme_Werte!A27&amp;" (Mineralphase)"</f>
        <v>Cr(VI) (Mineralphase)</v>
      </c>
      <c r="T25" s="40" t="s">
        <v>20</v>
      </c>
      <c r="U25" s="21" t="str">
        <f>Übernahme_Werte!E27</f>
        <v xml:space="preserve"> </v>
      </c>
      <c r="V25" s="38">
        <f>Übernahme_Werte!F27*(1-(Übernahme_Werte!F$11+Übernahme_Werte!F$10))*(1-Übernahme_Werte!F$9)*(1-(Übernahme_Werte!F$6+Übernahme_Werte!F$8))</f>
        <v>90.681818181818173</v>
      </c>
      <c r="W25" s="21" t="str">
        <f>Übernahme_Werte!G27</f>
        <v xml:space="preserve"> </v>
      </c>
      <c r="X25" s="38">
        <f>Übernahme_Werte!H27*(1-(Übernahme_Werte!H$11+Übernahme_Werte!H$10))*(1-Übernahme_Werte!H$9)*(1-(Übernahme_Werte!H$6+Übernahme_Werte!H$8))</f>
        <v>89.818181818181813</v>
      </c>
      <c r="Y25" s="21" t="str">
        <f>Übernahme_Werte!I27</f>
        <v xml:space="preserve"> </v>
      </c>
      <c r="Z25" s="38">
        <f>Übernahme_Werte!J27*(1-(Übernahme_Werte!J$11+Übernahme_Werte!J$10))*(1-Übernahme_Werte!J$9)*(1-(Übernahme_Werte!J$6+Übernahme_Werte!J$8))</f>
        <v>89.818181818181813</v>
      </c>
      <c r="AA25" s="21" t="str">
        <f>Übernahme_Werte!K27</f>
        <v xml:space="preserve"> </v>
      </c>
      <c r="AB25" s="38">
        <f>Übernahme_Werte!L27*(1-(Übernahme_Werte!L$11+Übernahme_Werte!L$10))*(1-Übernahme_Werte!L$9)*(1-(Übernahme_Werte!L$6+Übernahme_Werte!L$8))</f>
        <v>89.818181818181813</v>
      </c>
      <c r="AC25" s="21" t="str">
        <f>Übernahme_Werte!M27</f>
        <v xml:space="preserve"> </v>
      </c>
      <c r="AD25" s="38">
        <f>Übernahme_Werte!N27*(1-(Übernahme_Werte!N$11+Übernahme_Werte!N$10))*(1-Übernahme_Werte!N$9)*(1-(Übernahme_Werte!N$6+Übernahme_Werte!N$8))</f>
        <v>89.818181818181813</v>
      </c>
      <c r="AE25" s="21" t="str">
        <f>Übernahme_Werte!O27</f>
        <v xml:space="preserve"> </v>
      </c>
      <c r="AF25" s="38">
        <f>Übernahme_Werte!P27*(1-(Übernahme_Werte!P$11+Übernahme_Werte!P$10))*(1-Übernahme_Werte!P$9)*(1-(Übernahme_Werte!P$6+Übernahme_Werte!P$8))</f>
        <v>89.818181818181813</v>
      </c>
      <c r="AG25" s="47"/>
      <c r="AH25" s="47"/>
      <c r="AI25" s="55" t="str">
        <f>Übernahme_Werte!A27</f>
        <v>Cr(VI)</v>
      </c>
      <c r="AJ25" s="40" t="s">
        <v>20</v>
      </c>
      <c r="AK25" s="21" t="str">
        <f>Übernahme_Werte!E27</f>
        <v xml:space="preserve"> </v>
      </c>
      <c r="AL25" s="20">
        <f t="shared" si="0"/>
        <v>90.7</v>
      </c>
      <c r="AM25" s="21" t="str">
        <f>Übernahme_Werte!G27</f>
        <v xml:space="preserve"> </v>
      </c>
      <c r="AN25" s="20">
        <f t="shared" si="1"/>
        <v>89.8</v>
      </c>
      <c r="AO25" s="21" t="str">
        <f>Übernahme_Werte!I27</f>
        <v xml:space="preserve"> </v>
      </c>
      <c r="AP25" s="20">
        <f t="shared" si="2"/>
        <v>89.8</v>
      </c>
      <c r="AQ25" s="21" t="str">
        <f>Übernahme_Werte!K27</f>
        <v xml:space="preserve"> </v>
      </c>
      <c r="AR25" s="20">
        <f t="shared" si="3"/>
        <v>89.8</v>
      </c>
      <c r="AS25" s="21" t="str">
        <f>Übernahme_Werte!M27</f>
        <v xml:space="preserve"> </v>
      </c>
      <c r="AT25" s="20">
        <f t="shared" si="4"/>
        <v>89.8</v>
      </c>
      <c r="AU25" s="21" t="str">
        <f>Übernahme_Werte!O27</f>
        <v xml:space="preserve"> </v>
      </c>
      <c r="AV25" s="20">
        <f t="shared" si="5"/>
        <v>89.8</v>
      </c>
      <c r="AW25" s="39"/>
      <c r="AX25" s="9"/>
      <c r="AY25" s="81"/>
      <c r="AZ25" s="1">
        <f t="shared" si="6"/>
        <v>1</v>
      </c>
      <c r="BB25" s="1">
        <f t="shared" si="7"/>
        <v>1</v>
      </c>
      <c r="BD25" s="1">
        <f t="shared" si="8"/>
        <v>1</v>
      </c>
      <c r="BF25" s="1">
        <f t="shared" si="9"/>
        <v>1</v>
      </c>
      <c r="BH25" s="1">
        <f t="shared" si="10"/>
        <v>1</v>
      </c>
      <c r="BJ25" s="1">
        <f t="shared" si="11"/>
        <v>1</v>
      </c>
    </row>
    <row r="26" spans="18:62" x14ac:dyDescent="0.25">
      <c r="R26" s="266" t="str">
        <f>Übernahme_Werte!A28&amp;" (Mineralphase)"</f>
        <v>Cu (Mineralphase)</v>
      </c>
      <c r="T26" s="40" t="s">
        <v>20</v>
      </c>
      <c r="U26" s="21" t="str">
        <f>Übernahme_Werte!E28</f>
        <v xml:space="preserve"> </v>
      </c>
      <c r="V26" s="38">
        <f>Übernahme_Werte!F28*(1-(Übernahme_Werte!F$11+Übernahme_Werte!F$10))*(1-Übernahme_Werte!F$9)*(1-(Übernahme_Werte!F$6+Übernahme_Werte!F$8))</f>
        <v>408.06818181818181</v>
      </c>
      <c r="W26" s="21" t="str">
        <f>Übernahme_Werte!G28</f>
        <v xml:space="preserve"> </v>
      </c>
      <c r="X26" s="38">
        <f>Übernahme_Werte!H28*(1-(Übernahme_Werte!H$11+Übernahme_Werte!H$10))*(1-Übernahme_Werte!H$9)*(1-(Übernahme_Werte!H$6+Übernahme_Werte!H$8))</f>
        <v>404.18181818181819</v>
      </c>
      <c r="Y26" s="21" t="str">
        <f>Übernahme_Werte!I28</f>
        <v xml:space="preserve"> </v>
      </c>
      <c r="Z26" s="38">
        <f>Übernahme_Werte!J28*(1-(Übernahme_Werte!J$11+Übernahme_Werte!J$10))*(1-Übernahme_Werte!J$9)*(1-(Übernahme_Werte!J$6+Übernahme_Werte!J$8))</f>
        <v>404.18181818181819</v>
      </c>
      <c r="AA26" s="21" t="str">
        <f>Übernahme_Werte!K28</f>
        <v xml:space="preserve"> </v>
      </c>
      <c r="AB26" s="38">
        <f>Übernahme_Werte!L28*(1-(Übernahme_Werte!L$11+Übernahme_Werte!L$10))*(1-Übernahme_Werte!L$9)*(1-(Übernahme_Werte!L$6+Übernahme_Werte!L$8))</f>
        <v>404.18181818181819</v>
      </c>
      <c r="AC26" s="21" t="str">
        <f>Übernahme_Werte!M28</f>
        <v xml:space="preserve"> </v>
      </c>
      <c r="AD26" s="38">
        <f>Übernahme_Werte!N28*(1-(Übernahme_Werte!N$11+Übernahme_Werte!N$10))*(1-Übernahme_Werte!N$9)*(1-(Übernahme_Werte!N$6+Übernahme_Werte!N$8))</f>
        <v>404.18181818181819</v>
      </c>
      <c r="AE26" s="21" t="str">
        <f>Übernahme_Werte!O28</f>
        <v xml:space="preserve"> </v>
      </c>
      <c r="AF26" s="38">
        <f>Übernahme_Werte!P28*(1-(Übernahme_Werte!P$11+Übernahme_Werte!P$10))*(1-Übernahme_Werte!P$9)*(1-(Übernahme_Werte!P$6+Übernahme_Werte!P$8))</f>
        <v>404.18181818181819</v>
      </c>
      <c r="AG26" s="47"/>
      <c r="AH26" s="47"/>
      <c r="AI26" s="55" t="str">
        <f>Übernahme_Werte!A28</f>
        <v>Cu</v>
      </c>
      <c r="AJ26" s="40" t="s">
        <v>20</v>
      </c>
      <c r="AK26" s="21" t="str">
        <f>Übernahme_Werte!E28</f>
        <v xml:space="preserve"> </v>
      </c>
      <c r="AL26" s="20">
        <f t="shared" si="0"/>
        <v>408</v>
      </c>
      <c r="AM26" s="21" t="str">
        <f>Übernahme_Werte!G28</f>
        <v xml:space="preserve"> </v>
      </c>
      <c r="AN26" s="20">
        <f t="shared" si="1"/>
        <v>404</v>
      </c>
      <c r="AO26" s="21" t="str">
        <f>Übernahme_Werte!I28</f>
        <v xml:space="preserve"> </v>
      </c>
      <c r="AP26" s="20">
        <f t="shared" si="2"/>
        <v>404</v>
      </c>
      <c r="AQ26" s="21" t="str">
        <f>Übernahme_Werte!K28</f>
        <v xml:space="preserve"> </v>
      </c>
      <c r="AR26" s="20">
        <f t="shared" si="3"/>
        <v>404</v>
      </c>
      <c r="AS26" s="21" t="str">
        <f>Übernahme_Werte!M28</f>
        <v xml:space="preserve"> </v>
      </c>
      <c r="AT26" s="20">
        <f t="shared" si="4"/>
        <v>404</v>
      </c>
      <c r="AU26" s="21" t="str">
        <f>Übernahme_Werte!O28</f>
        <v xml:space="preserve"> </v>
      </c>
      <c r="AV26" s="20">
        <f t="shared" si="5"/>
        <v>404</v>
      </c>
      <c r="AW26" s="39"/>
      <c r="AX26" s="9"/>
      <c r="AY26" s="81"/>
      <c r="AZ26" s="1">
        <f t="shared" si="6"/>
        <v>0</v>
      </c>
      <c r="BB26" s="1">
        <f t="shared" si="7"/>
        <v>0</v>
      </c>
      <c r="BD26" s="1">
        <f t="shared" si="8"/>
        <v>0</v>
      </c>
      <c r="BF26" s="1">
        <f t="shared" si="9"/>
        <v>0</v>
      </c>
      <c r="BH26" s="1">
        <f t="shared" si="10"/>
        <v>0</v>
      </c>
      <c r="BJ26" s="1">
        <f t="shared" si="11"/>
        <v>0</v>
      </c>
    </row>
    <row r="27" spans="18:62" x14ac:dyDescent="0.25">
      <c r="R27" s="266" t="str">
        <f>Übernahme_Werte!A29&amp;" (Mineralphase)"</f>
        <v>F (Mineralphase)</v>
      </c>
      <c r="T27" s="40" t="s">
        <v>20</v>
      </c>
      <c r="U27" s="21" t="str">
        <f>Übernahme_Werte!E29</f>
        <v xml:space="preserve"> </v>
      </c>
      <c r="V27" s="38">
        <f>Übernahme_Werte!F29*(1-(Übernahme_Werte!F$11+Übernahme_Werte!F$10))*(1-Übernahme_Werte!F$9)*(1-(Übernahme_Werte!F$6+Übernahme_Werte!F$8))</f>
        <v>90.681818181818173</v>
      </c>
      <c r="W27" s="21" t="str">
        <f>Übernahme_Werte!G29</f>
        <v xml:space="preserve"> </v>
      </c>
      <c r="X27" s="38">
        <f>Übernahme_Werte!H29*(1-(Übernahme_Werte!H$11+Übernahme_Werte!H$10))*(1-Übernahme_Werte!H$9)*(1-(Übernahme_Werte!H$6+Übernahme_Werte!H$8))</f>
        <v>89.818181818181813</v>
      </c>
      <c r="Y27" s="21" t="str">
        <f>Übernahme_Werte!I29</f>
        <v xml:space="preserve"> </v>
      </c>
      <c r="Z27" s="38">
        <f>Übernahme_Werte!J29*(1-(Übernahme_Werte!J$11+Übernahme_Werte!J$10))*(1-Übernahme_Werte!J$9)*(1-(Übernahme_Werte!J$6+Übernahme_Werte!J$8))</f>
        <v>89.818181818181813</v>
      </c>
      <c r="AA27" s="21" t="str">
        <f>Übernahme_Werte!K29</f>
        <v xml:space="preserve"> </v>
      </c>
      <c r="AB27" s="38">
        <f>Übernahme_Werte!L29*(1-(Übernahme_Werte!L$11+Übernahme_Werte!L$10))*(1-Übernahme_Werte!L$9)*(1-(Übernahme_Werte!L$6+Übernahme_Werte!L$8))</f>
        <v>89.818181818181813</v>
      </c>
      <c r="AC27" s="21" t="str">
        <f>Übernahme_Werte!M29</f>
        <v xml:space="preserve"> </v>
      </c>
      <c r="AD27" s="38">
        <f>Übernahme_Werte!N29*(1-(Übernahme_Werte!N$11+Übernahme_Werte!N$10))*(1-Übernahme_Werte!N$9)*(1-(Übernahme_Werte!N$6+Übernahme_Werte!N$8))</f>
        <v>89.818181818181813</v>
      </c>
      <c r="AE27" s="21" t="str">
        <f>Übernahme_Werte!O29</f>
        <v xml:space="preserve"> </v>
      </c>
      <c r="AF27" s="38">
        <f>Übernahme_Werte!P29*(1-(Übernahme_Werte!P$11+Übernahme_Werte!P$10))*(1-Übernahme_Werte!P$9)*(1-(Übernahme_Werte!P$6+Übernahme_Werte!P$8))</f>
        <v>89.818181818181813</v>
      </c>
      <c r="AG27" s="47"/>
      <c r="AH27" s="47"/>
      <c r="AI27" s="55" t="str">
        <f>Übernahme_Werte!A29</f>
        <v>F</v>
      </c>
      <c r="AJ27" s="40" t="s">
        <v>20</v>
      </c>
      <c r="AK27" s="21" t="str">
        <f>Übernahme_Werte!E29</f>
        <v xml:space="preserve"> </v>
      </c>
      <c r="AL27" s="20">
        <f t="shared" si="0"/>
        <v>90.7</v>
      </c>
      <c r="AM27" s="21" t="str">
        <f>Übernahme_Werte!G29</f>
        <v xml:space="preserve"> </v>
      </c>
      <c r="AN27" s="20">
        <f t="shared" si="1"/>
        <v>89.8</v>
      </c>
      <c r="AO27" s="21" t="str">
        <f>Übernahme_Werte!I29</f>
        <v xml:space="preserve"> </v>
      </c>
      <c r="AP27" s="20">
        <f t="shared" si="2"/>
        <v>89.8</v>
      </c>
      <c r="AQ27" s="21" t="str">
        <f>Übernahme_Werte!K29</f>
        <v xml:space="preserve"> </v>
      </c>
      <c r="AR27" s="20">
        <f t="shared" si="3"/>
        <v>89.8</v>
      </c>
      <c r="AS27" s="21" t="str">
        <f>Übernahme_Werte!M29</f>
        <v xml:space="preserve"> </v>
      </c>
      <c r="AT27" s="20">
        <f t="shared" si="4"/>
        <v>89.8</v>
      </c>
      <c r="AU27" s="21" t="str">
        <f>Übernahme_Werte!O29</f>
        <v xml:space="preserve"> </v>
      </c>
      <c r="AV27" s="20">
        <f t="shared" si="5"/>
        <v>89.8</v>
      </c>
      <c r="AW27" s="39"/>
      <c r="AX27" s="9"/>
      <c r="AY27" s="81"/>
      <c r="AZ27" s="1">
        <f t="shared" si="6"/>
        <v>1</v>
      </c>
      <c r="BB27" s="1">
        <f t="shared" si="7"/>
        <v>1</v>
      </c>
      <c r="BD27" s="1">
        <f t="shared" si="8"/>
        <v>1</v>
      </c>
      <c r="BF27" s="1">
        <f t="shared" si="9"/>
        <v>1</v>
      </c>
      <c r="BH27" s="1">
        <f t="shared" si="10"/>
        <v>1</v>
      </c>
      <c r="BJ27" s="1">
        <f t="shared" si="11"/>
        <v>1</v>
      </c>
    </row>
    <row r="28" spans="18:62" x14ac:dyDescent="0.25">
      <c r="R28" s="266" t="str">
        <f>Übernahme_Werte!A30&amp;" (Mineralphase)"</f>
        <v>Fe (Mineralphase)</v>
      </c>
      <c r="T28" s="40" t="s">
        <v>20</v>
      </c>
      <c r="U28" s="21" t="str">
        <f>Übernahme_Werte!E30</f>
        <v xml:space="preserve"> </v>
      </c>
      <c r="V28" s="38">
        <f>Übernahme_Werte!F30*(1-(Übernahme_Werte!F$11+Übernahme_Werte!F$10))*(1-Übernahme_Werte!F$9)*(1-(Übernahme_Werte!F$6+Übernahme_Werte!F$8))</f>
        <v>1133.5227272727273</v>
      </c>
      <c r="W28" s="21" t="str">
        <f>Übernahme_Werte!G30</f>
        <v xml:space="preserve"> </v>
      </c>
      <c r="X28" s="38">
        <f>Übernahme_Werte!H30*(1-(Übernahme_Werte!H$11+Übernahme_Werte!H$10))*(1-Übernahme_Werte!H$9)*(1-(Übernahme_Werte!H$6+Übernahme_Werte!H$8))</f>
        <v>1122.7272727272727</v>
      </c>
      <c r="Y28" s="21" t="str">
        <f>Übernahme_Werte!I30</f>
        <v xml:space="preserve"> </v>
      </c>
      <c r="Z28" s="38">
        <f>Übernahme_Werte!J30*(1-(Übernahme_Werte!J$11+Übernahme_Werte!J$10))*(1-Übernahme_Werte!J$9)*(1-(Übernahme_Werte!J$6+Übernahme_Werte!J$8))</f>
        <v>1122.7272727272727</v>
      </c>
      <c r="AA28" s="21" t="str">
        <f>Übernahme_Werte!K30</f>
        <v xml:space="preserve"> </v>
      </c>
      <c r="AB28" s="38">
        <f>Übernahme_Werte!L30*(1-(Übernahme_Werte!L$11+Übernahme_Werte!L$10))*(1-Übernahme_Werte!L$9)*(1-(Übernahme_Werte!L$6+Übernahme_Werte!L$8))</f>
        <v>1122.7272727272727</v>
      </c>
      <c r="AC28" s="21" t="str">
        <f>Übernahme_Werte!M30</f>
        <v xml:space="preserve"> </v>
      </c>
      <c r="AD28" s="38">
        <f>Übernahme_Werte!N30*(1-(Übernahme_Werte!N$11+Übernahme_Werte!N$10))*(1-Übernahme_Werte!N$9)*(1-(Übernahme_Werte!N$6+Übernahme_Werte!N$8))</f>
        <v>1122.7272727272727</v>
      </c>
      <c r="AE28" s="21" t="str">
        <f>Übernahme_Werte!O30</f>
        <v xml:space="preserve"> </v>
      </c>
      <c r="AF28" s="38">
        <f>Übernahme_Werte!P30*(1-(Übernahme_Werte!P$11+Übernahme_Werte!P$10))*(1-Übernahme_Werte!P$9)*(1-(Übernahme_Werte!P$6+Übernahme_Werte!P$8))</f>
        <v>1122.7272727272727</v>
      </c>
      <c r="AG28" s="47"/>
      <c r="AH28" s="47"/>
      <c r="AI28" s="55" t="str">
        <f>Übernahme_Werte!A30</f>
        <v>Fe</v>
      </c>
      <c r="AJ28" s="40" t="s">
        <v>20</v>
      </c>
      <c r="AK28" s="21" t="str">
        <f>Übernahme_Werte!E30</f>
        <v xml:space="preserve"> </v>
      </c>
      <c r="AL28" s="20">
        <f t="shared" si="0"/>
        <v>1130</v>
      </c>
      <c r="AM28" s="21" t="str">
        <f>Übernahme_Werte!G30</f>
        <v xml:space="preserve"> </v>
      </c>
      <c r="AN28" s="20">
        <f t="shared" si="1"/>
        <v>1120</v>
      </c>
      <c r="AO28" s="21" t="str">
        <f>Übernahme_Werte!I30</f>
        <v xml:space="preserve"> </v>
      </c>
      <c r="AP28" s="20">
        <f t="shared" si="2"/>
        <v>1120</v>
      </c>
      <c r="AQ28" s="21" t="str">
        <f>Übernahme_Werte!K30</f>
        <v xml:space="preserve"> </v>
      </c>
      <c r="AR28" s="20">
        <f t="shared" si="3"/>
        <v>1120</v>
      </c>
      <c r="AS28" s="21" t="str">
        <f>Übernahme_Werte!M30</f>
        <v xml:space="preserve"> </v>
      </c>
      <c r="AT28" s="20">
        <f t="shared" si="4"/>
        <v>1120</v>
      </c>
      <c r="AU28" s="21" t="str">
        <f>Übernahme_Werte!O30</f>
        <v xml:space="preserve"> </v>
      </c>
      <c r="AV28" s="20">
        <f t="shared" si="5"/>
        <v>1120</v>
      </c>
      <c r="AW28" s="39"/>
      <c r="AX28" s="9"/>
      <c r="AY28" s="81"/>
      <c r="AZ28" s="1">
        <f t="shared" si="6"/>
        <v>-1</v>
      </c>
      <c r="BB28" s="1">
        <f t="shared" si="7"/>
        <v>-1</v>
      </c>
      <c r="BD28" s="1">
        <f t="shared" si="8"/>
        <v>-1</v>
      </c>
      <c r="BF28" s="1">
        <f t="shared" si="9"/>
        <v>-1</v>
      </c>
      <c r="BH28" s="1">
        <f t="shared" si="10"/>
        <v>-1</v>
      </c>
      <c r="BJ28" s="1">
        <f t="shared" si="11"/>
        <v>-1</v>
      </c>
    </row>
    <row r="29" spans="18:62" x14ac:dyDescent="0.25">
      <c r="R29" s="266" t="str">
        <f>Übernahme_Werte!A31&amp;" (Mineralphase)"</f>
        <v>Hg (Mineralphase)</v>
      </c>
      <c r="T29" s="40" t="s">
        <v>20</v>
      </c>
      <c r="U29" s="21" t="str">
        <f>Übernahme_Werte!E31</f>
        <v xml:space="preserve"> </v>
      </c>
      <c r="V29" s="38">
        <f>Übernahme_Werte!F31*(1-(Übernahme_Werte!F$11+Übernahme_Werte!F$10))*(1-Übernahme_Werte!F$9)*(1-(Übernahme_Werte!F$6+Übernahme_Werte!F$8))</f>
        <v>453.40909090909088</v>
      </c>
      <c r="W29" s="21" t="str">
        <f>Übernahme_Werte!G31</f>
        <v xml:space="preserve"> </v>
      </c>
      <c r="X29" s="38">
        <f>Übernahme_Werte!H31*(1-(Übernahme_Werte!H$11+Übernahme_Werte!H$10))*(1-Übernahme_Werte!H$9)*(1-(Übernahme_Werte!H$6+Übernahme_Werte!H$8))</f>
        <v>449.09090909090907</v>
      </c>
      <c r="Y29" s="21" t="str">
        <f>Übernahme_Werte!I31</f>
        <v xml:space="preserve"> </v>
      </c>
      <c r="Z29" s="38">
        <f>Übernahme_Werte!J31*(1-(Übernahme_Werte!J$11+Übernahme_Werte!J$10))*(1-Übernahme_Werte!J$9)*(1-(Übernahme_Werte!J$6+Übernahme_Werte!J$8))</f>
        <v>449.09090909090907</v>
      </c>
      <c r="AA29" s="21" t="str">
        <f>Übernahme_Werte!K31</f>
        <v xml:space="preserve"> </v>
      </c>
      <c r="AB29" s="38">
        <f>Übernahme_Werte!L31*(1-(Übernahme_Werte!L$11+Übernahme_Werte!L$10))*(1-Übernahme_Werte!L$9)*(1-(Übernahme_Werte!L$6+Übernahme_Werte!L$8))</f>
        <v>449.09090909090907</v>
      </c>
      <c r="AC29" s="21" t="str">
        <f>Übernahme_Werte!M31</f>
        <v xml:space="preserve"> </v>
      </c>
      <c r="AD29" s="38">
        <f>Übernahme_Werte!N31*(1-(Übernahme_Werte!N$11+Übernahme_Werte!N$10))*(1-Übernahme_Werte!N$9)*(1-(Übernahme_Werte!N$6+Übernahme_Werte!N$8))</f>
        <v>449.09090909090907</v>
      </c>
      <c r="AE29" s="21" t="str">
        <f>Übernahme_Werte!O31</f>
        <v xml:space="preserve"> </v>
      </c>
      <c r="AF29" s="38">
        <f>Übernahme_Werte!P31*(1-(Übernahme_Werte!P$11+Übernahme_Werte!P$10))*(1-Übernahme_Werte!P$9)*(1-(Übernahme_Werte!P$6+Übernahme_Werte!P$8))</f>
        <v>449.09090909090907</v>
      </c>
      <c r="AG29" s="47"/>
      <c r="AH29" s="47"/>
      <c r="AI29" s="55" t="str">
        <f>Übernahme_Werte!A31</f>
        <v>Hg</v>
      </c>
      <c r="AJ29" s="40" t="s">
        <v>20</v>
      </c>
      <c r="AK29" s="21" t="str">
        <f>Übernahme_Werte!E31</f>
        <v xml:space="preserve"> </v>
      </c>
      <c r="AL29" s="20">
        <f t="shared" si="0"/>
        <v>453</v>
      </c>
      <c r="AM29" s="21" t="str">
        <f>Übernahme_Werte!G31</f>
        <v xml:space="preserve"> </v>
      </c>
      <c r="AN29" s="20">
        <f t="shared" si="1"/>
        <v>449</v>
      </c>
      <c r="AO29" s="21" t="str">
        <f>Übernahme_Werte!I31</f>
        <v xml:space="preserve"> </v>
      </c>
      <c r="AP29" s="20">
        <f t="shared" si="2"/>
        <v>449</v>
      </c>
      <c r="AQ29" s="21" t="str">
        <f>Übernahme_Werte!K31</f>
        <v xml:space="preserve"> </v>
      </c>
      <c r="AR29" s="20">
        <f t="shared" si="3"/>
        <v>449</v>
      </c>
      <c r="AS29" s="21" t="str">
        <f>Übernahme_Werte!M31</f>
        <v xml:space="preserve"> </v>
      </c>
      <c r="AT29" s="20">
        <f t="shared" si="4"/>
        <v>449</v>
      </c>
      <c r="AU29" s="21" t="str">
        <f>Übernahme_Werte!O31</f>
        <v xml:space="preserve"> </v>
      </c>
      <c r="AV29" s="20">
        <f t="shared" si="5"/>
        <v>449</v>
      </c>
      <c r="AW29" s="54"/>
      <c r="AX29" s="53"/>
      <c r="AY29" s="81"/>
      <c r="AZ29" s="1">
        <f t="shared" si="6"/>
        <v>0</v>
      </c>
      <c r="BB29" s="1">
        <f t="shared" si="7"/>
        <v>0</v>
      </c>
      <c r="BD29" s="1">
        <f t="shared" si="8"/>
        <v>0</v>
      </c>
      <c r="BF29" s="1">
        <f t="shared" si="9"/>
        <v>0</v>
      </c>
      <c r="BH29" s="1">
        <f t="shared" si="10"/>
        <v>0</v>
      </c>
      <c r="BJ29" s="1">
        <f t="shared" si="11"/>
        <v>0</v>
      </c>
    </row>
    <row r="30" spans="18:62" ht="12.75" customHeight="1" x14ac:dyDescent="0.25">
      <c r="R30" s="266" t="str">
        <f>Übernahme_Werte!A32&amp;" (Mineralphase)"</f>
        <v>K (Mineralphase)</v>
      </c>
      <c r="T30" s="40" t="s">
        <v>20</v>
      </c>
      <c r="U30" s="21" t="str">
        <f>Übernahme_Werte!E32</f>
        <v xml:space="preserve"> </v>
      </c>
      <c r="V30" s="38">
        <f>Übernahme_Werte!F32*(1-(Übernahme_Werte!F$11+Übernahme_Werte!F$10))*(1-Übernahme_Werte!F$9)*(1-(Übernahme_Werte!F$6+Übernahme_Werte!F$8))</f>
        <v>498.75</v>
      </c>
      <c r="W30" s="21" t="str">
        <f>Übernahme_Werte!G32</f>
        <v xml:space="preserve"> </v>
      </c>
      <c r="X30" s="38">
        <f>Übernahme_Werte!H32*(1-(Übernahme_Werte!H$11+Übernahme_Werte!H$10))*(1-Übernahme_Werte!H$9)*(1-(Übernahme_Werte!H$6+Übernahme_Werte!H$8))</f>
        <v>493.99999999999994</v>
      </c>
      <c r="Y30" s="21" t="str">
        <f>Übernahme_Werte!I32</f>
        <v xml:space="preserve"> </v>
      </c>
      <c r="Z30" s="38">
        <f>Übernahme_Werte!J32*(1-(Übernahme_Werte!J$11+Übernahme_Werte!J$10))*(1-Übernahme_Werte!J$9)*(1-(Übernahme_Werte!J$6+Übernahme_Werte!J$8))</f>
        <v>493.99999999999994</v>
      </c>
      <c r="AA30" s="21" t="str">
        <f>Übernahme_Werte!K32</f>
        <v xml:space="preserve"> </v>
      </c>
      <c r="AB30" s="38">
        <f>Übernahme_Werte!L32*(1-(Übernahme_Werte!L$11+Übernahme_Werte!L$10))*(1-Übernahme_Werte!L$9)*(1-(Übernahme_Werte!L$6+Übernahme_Werte!L$8))</f>
        <v>493.99999999999994</v>
      </c>
      <c r="AC30" s="21" t="str">
        <f>Übernahme_Werte!M32</f>
        <v xml:space="preserve"> </v>
      </c>
      <c r="AD30" s="38">
        <f>Übernahme_Werte!N32*(1-(Übernahme_Werte!N$11+Übernahme_Werte!N$10))*(1-Übernahme_Werte!N$9)*(1-(Übernahme_Werte!N$6+Übernahme_Werte!N$8))</f>
        <v>493.99999999999994</v>
      </c>
      <c r="AE30" s="21" t="str">
        <f>Übernahme_Werte!O32</f>
        <v xml:space="preserve"> </v>
      </c>
      <c r="AF30" s="38">
        <f>Übernahme_Werte!P32*(1-(Übernahme_Werte!P$11+Übernahme_Werte!P$10))*(1-Übernahme_Werte!P$9)*(1-(Übernahme_Werte!P$6+Übernahme_Werte!P$8))</f>
        <v>493.99999999999994</v>
      </c>
      <c r="AG30" s="47"/>
      <c r="AH30" s="47"/>
      <c r="AI30" s="55" t="str">
        <f>Übernahme_Werte!A32</f>
        <v>K</v>
      </c>
      <c r="AJ30" s="40" t="s">
        <v>20</v>
      </c>
      <c r="AK30" s="21" t="str">
        <f>Übernahme_Werte!E32</f>
        <v xml:space="preserve"> </v>
      </c>
      <c r="AL30" s="20">
        <f t="shared" si="0"/>
        <v>499</v>
      </c>
      <c r="AM30" s="21" t="str">
        <f>Übernahme_Werte!G32</f>
        <v xml:space="preserve"> </v>
      </c>
      <c r="AN30" s="20">
        <f t="shared" si="1"/>
        <v>494</v>
      </c>
      <c r="AO30" s="21" t="str">
        <f>Übernahme_Werte!I32</f>
        <v xml:space="preserve"> </v>
      </c>
      <c r="AP30" s="20">
        <f t="shared" si="2"/>
        <v>494</v>
      </c>
      <c r="AQ30" s="21" t="str">
        <f>Übernahme_Werte!K32</f>
        <v xml:space="preserve"> </v>
      </c>
      <c r="AR30" s="20">
        <f t="shared" si="3"/>
        <v>494</v>
      </c>
      <c r="AS30" s="21" t="str">
        <f>Übernahme_Werte!M32</f>
        <v xml:space="preserve"> </v>
      </c>
      <c r="AT30" s="20">
        <f t="shared" si="4"/>
        <v>494</v>
      </c>
      <c r="AU30" s="21" t="str">
        <f>Übernahme_Werte!O32</f>
        <v xml:space="preserve"> </v>
      </c>
      <c r="AV30" s="20">
        <f t="shared" si="5"/>
        <v>494</v>
      </c>
      <c r="AW30" s="54"/>
      <c r="AX30" s="53"/>
      <c r="AY30" s="81"/>
      <c r="AZ30" s="1">
        <f t="shared" si="6"/>
        <v>0</v>
      </c>
      <c r="BB30" s="1">
        <f t="shared" si="7"/>
        <v>0</v>
      </c>
      <c r="BD30" s="1">
        <f t="shared" si="8"/>
        <v>0</v>
      </c>
      <c r="BF30" s="1">
        <f t="shared" si="9"/>
        <v>0</v>
      </c>
      <c r="BH30" s="1">
        <f t="shared" si="10"/>
        <v>0</v>
      </c>
      <c r="BJ30" s="1">
        <f t="shared" si="11"/>
        <v>0</v>
      </c>
    </row>
    <row r="31" spans="18:62" hidden="1" x14ac:dyDescent="0.25">
      <c r="R31" s="266" t="str">
        <f>Übernahme_Werte!A33&amp;" (Mineralphase)"</f>
        <v>Mg (Mineralphase)</v>
      </c>
      <c r="T31" s="40" t="s">
        <v>20</v>
      </c>
      <c r="U31" s="21" t="str">
        <f>Übernahme_Werte!E33</f>
        <v xml:space="preserve"> </v>
      </c>
      <c r="V31" s="38">
        <f>Übernahme_Werte!F33*(1-(Übernahme_Werte!F$11+Übernahme_Werte!F$10))*(1-Übernahme_Werte!F$9)*(1-(Übernahme_Werte!F$6+Übernahme_Werte!F$8))</f>
        <v>544.09090909090912</v>
      </c>
      <c r="W31" s="21" t="str">
        <f>Übernahme_Werte!G33</f>
        <v xml:space="preserve"> </v>
      </c>
      <c r="X31" s="38">
        <f>Übernahme_Werte!H33*(1-(Übernahme_Werte!H$11+Übernahme_Werte!H$10))*(1-Übernahme_Werte!H$9)*(1-(Übernahme_Werte!H$6+Übernahme_Werte!H$8))</f>
        <v>538.90909090909088</v>
      </c>
      <c r="Y31" s="21" t="str">
        <f>Übernahme_Werte!I33</f>
        <v xml:space="preserve"> </v>
      </c>
      <c r="Z31" s="38">
        <f>Übernahme_Werte!J33*(1-(Übernahme_Werte!J$11+Übernahme_Werte!J$10))*(1-Übernahme_Werte!J$9)*(1-(Übernahme_Werte!J$6+Übernahme_Werte!J$8))</f>
        <v>538.90909090909088</v>
      </c>
      <c r="AA31" s="21" t="str">
        <f>Übernahme_Werte!K33</f>
        <v xml:space="preserve"> </v>
      </c>
      <c r="AB31" s="38">
        <f>Übernahme_Werte!L33*(1-(Übernahme_Werte!L$11+Übernahme_Werte!L$10))*(1-Übernahme_Werte!L$9)*(1-(Übernahme_Werte!L$6+Übernahme_Werte!L$8))</f>
        <v>538.90909090909088</v>
      </c>
      <c r="AC31" s="21" t="str">
        <f>Übernahme_Werte!M33</f>
        <v xml:space="preserve"> </v>
      </c>
      <c r="AD31" s="38">
        <f>Übernahme_Werte!N33*(1-(Übernahme_Werte!N$11+Übernahme_Werte!N$10))*(1-Übernahme_Werte!N$9)*(1-(Übernahme_Werte!N$6+Übernahme_Werte!N$8))</f>
        <v>538.90909090909088</v>
      </c>
      <c r="AE31" s="21" t="str">
        <f>Übernahme_Werte!O33</f>
        <v xml:space="preserve"> </v>
      </c>
      <c r="AF31" s="38">
        <f>Übernahme_Werte!P33*(1-(Übernahme_Werte!P$11+Übernahme_Werte!P$10))*(1-Übernahme_Werte!P$9)*(1-(Übernahme_Werte!P$6+Übernahme_Werte!P$8))</f>
        <v>538.90909090909088</v>
      </c>
      <c r="AG31" s="47"/>
      <c r="AH31" s="47"/>
      <c r="AI31" s="55" t="str">
        <f>Übernahme_Werte!A33</f>
        <v>Mg</v>
      </c>
      <c r="AJ31" s="40" t="s">
        <v>20</v>
      </c>
      <c r="AK31" s="21" t="str">
        <f>Übernahme_Werte!E33</f>
        <v xml:space="preserve"> </v>
      </c>
      <c r="AL31" s="20">
        <f t="shared" si="0"/>
        <v>544</v>
      </c>
      <c r="AM31" s="21" t="str">
        <f>Übernahme_Werte!G33</f>
        <v xml:space="preserve"> </v>
      </c>
      <c r="AN31" s="20">
        <f t="shared" si="1"/>
        <v>539</v>
      </c>
      <c r="AO31" s="21" t="str">
        <f>Übernahme_Werte!I33</f>
        <v xml:space="preserve"> </v>
      </c>
      <c r="AP31" s="20">
        <f t="shared" si="2"/>
        <v>539</v>
      </c>
      <c r="AQ31" s="21" t="str">
        <f>Übernahme_Werte!K33</f>
        <v xml:space="preserve"> </v>
      </c>
      <c r="AR31" s="20">
        <f t="shared" si="3"/>
        <v>539</v>
      </c>
      <c r="AS31" s="21" t="str">
        <f>Übernahme_Werte!M33</f>
        <v xml:space="preserve"> </v>
      </c>
      <c r="AT31" s="20">
        <f t="shared" si="4"/>
        <v>539</v>
      </c>
      <c r="AU31" s="21" t="str">
        <f>Übernahme_Werte!O33</f>
        <v xml:space="preserve"> </v>
      </c>
      <c r="AV31" s="20">
        <f t="shared" si="5"/>
        <v>539</v>
      </c>
      <c r="AW31" s="39"/>
      <c r="AX31" s="9"/>
      <c r="AY31" s="81"/>
      <c r="AZ31" s="1">
        <f t="shared" si="6"/>
        <v>0</v>
      </c>
      <c r="BB31" s="1">
        <f t="shared" si="7"/>
        <v>0</v>
      </c>
      <c r="BD31" s="1">
        <f t="shared" si="8"/>
        <v>0</v>
      </c>
      <c r="BF31" s="1">
        <f t="shared" si="9"/>
        <v>0</v>
      </c>
      <c r="BH31" s="1">
        <f t="shared" si="10"/>
        <v>0</v>
      </c>
      <c r="BJ31" s="1">
        <f t="shared" si="11"/>
        <v>0</v>
      </c>
    </row>
    <row r="32" spans="18:62" x14ac:dyDescent="0.25">
      <c r="R32" s="266" t="str">
        <f>Übernahme_Werte!A34&amp;" (Mineralphase)"</f>
        <v>Mn (Mineralphase)</v>
      </c>
      <c r="T32" s="40" t="s">
        <v>20</v>
      </c>
      <c r="U32" s="21" t="str">
        <f>Übernahme_Werte!E34</f>
        <v xml:space="preserve"> </v>
      </c>
      <c r="V32" s="38">
        <f>Übernahme_Werte!F34*(1-(Übernahme_Werte!F$11+Übernahme_Werte!F$10))*(1-Übernahme_Werte!F$9)*(1-(Übernahme_Werte!F$6+Übernahme_Werte!F$8))</f>
        <v>589.43181818181813</v>
      </c>
      <c r="W32" s="21" t="str">
        <f>Übernahme_Werte!G34</f>
        <v xml:space="preserve"> </v>
      </c>
      <c r="X32" s="38">
        <f>Übernahme_Werte!H34*(1-(Übernahme_Werte!H$11+Übernahme_Werte!H$10))*(1-Übernahme_Werte!H$9)*(1-(Übernahme_Werte!H$6+Übernahme_Werte!H$8))</f>
        <v>583.81818181818187</v>
      </c>
      <c r="Y32" s="21" t="str">
        <f>Übernahme_Werte!I34</f>
        <v xml:space="preserve"> </v>
      </c>
      <c r="Z32" s="38">
        <f>Übernahme_Werte!J34*(1-(Übernahme_Werte!J$11+Übernahme_Werte!J$10))*(1-Übernahme_Werte!J$9)*(1-(Übernahme_Werte!J$6+Übernahme_Werte!J$8))</f>
        <v>583.81818181818187</v>
      </c>
      <c r="AA32" s="21" t="str">
        <f>Übernahme_Werte!K34</f>
        <v xml:space="preserve"> </v>
      </c>
      <c r="AB32" s="38">
        <f>Übernahme_Werte!L34*(1-(Übernahme_Werte!L$11+Übernahme_Werte!L$10))*(1-Übernahme_Werte!L$9)*(1-(Übernahme_Werte!L$6+Übernahme_Werte!L$8))</f>
        <v>583.81818181818187</v>
      </c>
      <c r="AC32" s="21" t="str">
        <f>Übernahme_Werte!M34</f>
        <v xml:space="preserve"> </v>
      </c>
      <c r="AD32" s="38">
        <f>Übernahme_Werte!N34*(1-(Übernahme_Werte!N$11+Übernahme_Werte!N$10))*(1-Übernahme_Werte!N$9)*(1-(Übernahme_Werte!N$6+Übernahme_Werte!N$8))</f>
        <v>583.81818181818187</v>
      </c>
      <c r="AE32" s="21" t="str">
        <f>Übernahme_Werte!O34</f>
        <v xml:space="preserve"> </v>
      </c>
      <c r="AF32" s="38">
        <f>Übernahme_Werte!P34*(1-(Übernahme_Werte!P$11+Übernahme_Werte!P$10))*(1-Übernahme_Werte!P$9)*(1-(Übernahme_Werte!P$6+Übernahme_Werte!P$8))</f>
        <v>583.81818181818187</v>
      </c>
      <c r="AG32" s="47"/>
      <c r="AH32" s="47"/>
      <c r="AI32" s="55" t="str">
        <f>Übernahme_Werte!A34</f>
        <v>Mn</v>
      </c>
      <c r="AJ32" s="40" t="s">
        <v>20</v>
      </c>
      <c r="AK32" s="21" t="str">
        <f>Übernahme_Werte!E34</f>
        <v xml:space="preserve"> </v>
      </c>
      <c r="AL32" s="20">
        <f t="shared" si="0"/>
        <v>589</v>
      </c>
      <c r="AM32" s="21" t="str">
        <f>Übernahme_Werte!G34</f>
        <v xml:space="preserve"> </v>
      </c>
      <c r="AN32" s="20">
        <f t="shared" si="1"/>
        <v>584</v>
      </c>
      <c r="AO32" s="21" t="str">
        <f>Übernahme_Werte!I34</f>
        <v xml:space="preserve"> </v>
      </c>
      <c r="AP32" s="20">
        <f t="shared" si="2"/>
        <v>584</v>
      </c>
      <c r="AQ32" s="21" t="str">
        <f>Übernahme_Werte!K34</f>
        <v xml:space="preserve"> </v>
      </c>
      <c r="AR32" s="20">
        <f t="shared" si="3"/>
        <v>584</v>
      </c>
      <c r="AS32" s="21" t="str">
        <f>Übernahme_Werte!M34</f>
        <v xml:space="preserve"> </v>
      </c>
      <c r="AT32" s="20">
        <f t="shared" si="4"/>
        <v>584</v>
      </c>
      <c r="AU32" s="21" t="str">
        <f>Übernahme_Werte!O34</f>
        <v xml:space="preserve"> </v>
      </c>
      <c r="AV32" s="20">
        <f t="shared" si="5"/>
        <v>584</v>
      </c>
      <c r="AW32" s="54"/>
      <c r="AX32" s="53"/>
      <c r="AY32" s="81"/>
      <c r="AZ32" s="1">
        <f t="shared" si="6"/>
        <v>0</v>
      </c>
      <c r="BB32" s="1">
        <f t="shared" si="7"/>
        <v>0</v>
      </c>
      <c r="BD32" s="1">
        <f t="shared" si="8"/>
        <v>0</v>
      </c>
      <c r="BF32" s="1">
        <f t="shared" si="9"/>
        <v>0</v>
      </c>
      <c r="BH32" s="1">
        <f t="shared" si="10"/>
        <v>0</v>
      </c>
      <c r="BJ32" s="1">
        <f t="shared" si="11"/>
        <v>0</v>
      </c>
    </row>
    <row r="33" spans="18:62" x14ac:dyDescent="0.25">
      <c r="R33" s="266" t="str">
        <f>Übernahme_Werte!A35&amp;" (Mineralphase)"</f>
        <v>Mo (Mineralphase)</v>
      </c>
      <c r="T33" s="40" t="s">
        <v>20</v>
      </c>
      <c r="U33" s="21" t="str">
        <f>Übernahme_Werte!E35</f>
        <v xml:space="preserve"> </v>
      </c>
      <c r="V33" s="38">
        <f>Übernahme_Werte!F35*(1-(Übernahme_Werte!F$11+Übernahme_Werte!F$10))*(1-Übernahme_Werte!F$9)*(1-(Übernahme_Werte!F$6+Übernahme_Werte!F$8))</f>
        <v>634.77272727272725</v>
      </c>
      <c r="W33" s="21" t="str">
        <f>Übernahme_Werte!G35</f>
        <v xml:space="preserve"> </v>
      </c>
      <c r="X33" s="38">
        <f>Übernahme_Werte!H35*(1-(Übernahme_Werte!H$11+Übernahme_Werte!H$10))*(1-Übernahme_Werte!H$9)*(1-(Übernahme_Werte!H$6+Übernahme_Werte!H$8))</f>
        <v>628.72727272727275</v>
      </c>
      <c r="Y33" s="21" t="str">
        <f>Übernahme_Werte!I35</f>
        <v xml:space="preserve"> </v>
      </c>
      <c r="Z33" s="38">
        <f>Übernahme_Werte!J35*(1-(Übernahme_Werte!J$11+Übernahme_Werte!J$10))*(1-Übernahme_Werte!J$9)*(1-(Übernahme_Werte!J$6+Übernahme_Werte!J$8))</f>
        <v>628.72727272727275</v>
      </c>
      <c r="AA33" s="21" t="str">
        <f>Übernahme_Werte!K35</f>
        <v xml:space="preserve"> </v>
      </c>
      <c r="AB33" s="38">
        <f>Übernahme_Werte!L35*(1-(Übernahme_Werte!L$11+Übernahme_Werte!L$10))*(1-Übernahme_Werte!L$9)*(1-(Übernahme_Werte!L$6+Übernahme_Werte!L$8))</f>
        <v>628.72727272727275</v>
      </c>
      <c r="AC33" s="21" t="str">
        <f>Übernahme_Werte!M35</f>
        <v xml:space="preserve"> </v>
      </c>
      <c r="AD33" s="38">
        <f>Übernahme_Werte!N35*(1-(Übernahme_Werte!N$11+Übernahme_Werte!N$10))*(1-Übernahme_Werte!N$9)*(1-(Übernahme_Werte!N$6+Übernahme_Werte!N$8))</f>
        <v>628.72727272727275</v>
      </c>
      <c r="AE33" s="21" t="str">
        <f>Übernahme_Werte!O35</f>
        <v xml:space="preserve"> </v>
      </c>
      <c r="AF33" s="38">
        <f>Übernahme_Werte!P35*(1-(Übernahme_Werte!P$11+Übernahme_Werte!P$10))*(1-Übernahme_Werte!P$9)*(1-(Übernahme_Werte!P$6+Übernahme_Werte!P$8))</f>
        <v>628.72727272727275</v>
      </c>
      <c r="AG33" s="47"/>
      <c r="AH33" s="47"/>
      <c r="AI33" s="55" t="str">
        <f>Übernahme_Werte!A35</f>
        <v>Mo</v>
      </c>
      <c r="AJ33" s="40" t="s">
        <v>20</v>
      </c>
      <c r="AK33" s="21" t="str">
        <f>Übernahme_Werte!E35</f>
        <v xml:space="preserve"> </v>
      </c>
      <c r="AL33" s="20">
        <f t="shared" si="0"/>
        <v>635</v>
      </c>
      <c r="AM33" s="21" t="str">
        <f>Übernahme_Werte!G35</f>
        <v xml:space="preserve"> </v>
      </c>
      <c r="AN33" s="20">
        <f t="shared" si="1"/>
        <v>629</v>
      </c>
      <c r="AO33" s="21" t="str">
        <f>Übernahme_Werte!I35</f>
        <v xml:space="preserve"> </v>
      </c>
      <c r="AP33" s="20">
        <f t="shared" si="2"/>
        <v>629</v>
      </c>
      <c r="AQ33" s="21" t="str">
        <f>Übernahme_Werte!K35</f>
        <v xml:space="preserve"> </v>
      </c>
      <c r="AR33" s="20">
        <f t="shared" si="3"/>
        <v>629</v>
      </c>
      <c r="AS33" s="21" t="str">
        <f>Übernahme_Werte!M35</f>
        <v xml:space="preserve"> </v>
      </c>
      <c r="AT33" s="20">
        <f t="shared" si="4"/>
        <v>629</v>
      </c>
      <c r="AU33" s="21" t="str">
        <f>Übernahme_Werte!O35</f>
        <v xml:space="preserve"> </v>
      </c>
      <c r="AV33" s="20">
        <f t="shared" si="5"/>
        <v>629</v>
      </c>
      <c r="AW33" s="39"/>
      <c r="AX33" s="9"/>
      <c r="AY33" s="81"/>
      <c r="AZ33" s="1">
        <f t="shared" si="6"/>
        <v>0</v>
      </c>
      <c r="BB33" s="1">
        <f t="shared" si="7"/>
        <v>0</v>
      </c>
      <c r="BD33" s="1">
        <f t="shared" si="8"/>
        <v>0</v>
      </c>
      <c r="BF33" s="1">
        <f t="shared" si="9"/>
        <v>0</v>
      </c>
      <c r="BH33" s="1">
        <f t="shared" si="10"/>
        <v>0</v>
      </c>
      <c r="BJ33" s="1">
        <f t="shared" si="11"/>
        <v>0</v>
      </c>
    </row>
    <row r="34" spans="18:62" x14ac:dyDescent="0.25">
      <c r="R34" s="266" t="str">
        <f>Übernahme_Werte!A36&amp;" (Mineralphase)"</f>
        <v>Na (Mineralphase)</v>
      </c>
      <c r="T34" s="40" t="s">
        <v>20</v>
      </c>
      <c r="U34" s="21" t="str">
        <f>Übernahme_Werte!E36</f>
        <v xml:space="preserve"> </v>
      </c>
      <c r="V34" s="38">
        <f>Übernahme_Werte!F36*(1-(Übernahme_Werte!F$11+Übernahme_Werte!F$10))*(1-Übernahme_Werte!F$9)*(1-(Übernahme_Werte!F$6+Übernahme_Werte!F$8))</f>
        <v>1133.5227272727273</v>
      </c>
      <c r="W34" s="21" t="str">
        <f>Übernahme_Werte!G36</f>
        <v xml:space="preserve"> </v>
      </c>
      <c r="X34" s="38">
        <f>Übernahme_Werte!H36*(1-(Übernahme_Werte!H$11+Übernahme_Werte!H$10))*(1-Übernahme_Werte!H$9)*(1-(Übernahme_Werte!H$6+Übernahme_Werte!H$8))</f>
        <v>1122.7272727272727</v>
      </c>
      <c r="Y34" s="21" t="str">
        <f>Übernahme_Werte!I36</f>
        <v xml:space="preserve"> </v>
      </c>
      <c r="Z34" s="38">
        <f>Übernahme_Werte!J36*(1-(Übernahme_Werte!J$11+Übernahme_Werte!J$10))*(1-Übernahme_Werte!J$9)*(1-(Übernahme_Werte!J$6+Übernahme_Werte!J$8))</f>
        <v>1122.7272727272727</v>
      </c>
      <c r="AA34" s="21" t="str">
        <f>Übernahme_Werte!K36</f>
        <v xml:space="preserve"> </v>
      </c>
      <c r="AB34" s="38">
        <f>Übernahme_Werte!L36*(1-(Übernahme_Werte!L$11+Übernahme_Werte!L$10))*(1-Übernahme_Werte!L$9)*(1-(Übernahme_Werte!L$6+Übernahme_Werte!L$8))</f>
        <v>1122.7272727272727</v>
      </c>
      <c r="AC34" s="21" t="str">
        <f>Übernahme_Werte!M36</f>
        <v xml:space="preserve"> </v>
      </c>
      <c r="AD34" s="38">
        <f>Übernahme_Werte!N36*(1-(Übernahme_Werte!N$11+Übernahme_Werte!N$10))*(1-Übernahme_Werte!N$9)*(1-(Übernahme_Werte!N$6+Übernahme_Werte!N$8))</f>
        <v>1122.7272727272727</v>
      </c>
      <c r="AE34" s="21" t="str">
        <f>Übernahme_Werte!O36</f>
        <v xml:space="preserve"> </v>
      </c>
      <c r="AF34" s="38">
        <f>Übernahme_Werte!P36*(1-(Übernahme_Werte!P$11+Übernahme_Werte!P$10))*(1-Übernahme_Werte!P$9)*(1-(Übernahme_Werte!P$6+Übernahme_Werte!P$8))</f>
        <v>1122.7272727272727</v>
      </c>
      <c r="AG34" s="47"/>
      <c r="AH34" s="47"/>
      <c r="AI34" s="55" t="str">
        <f>Übernahme_Werte!A36</f>
        <v>Na</v>
      </c>
      <c r="AJ34" s="40" t="s">
        <v>20</v>
      </c>
      <c r="AK34" s="21" t="str">
        <f>Übernahme_Werte!E36</f>
        <v xml:space="preserve"> </v>
      </c>
      <c r="AL34" s="20">
        <f t="shared" si="0"/>
        <v>1130</v>
      </c>
      <c r="AM34" s="21" t="str">
        <f>Übernahme_Werte!G36</f>
        <v xml:space="preserve"> </v>
      </c>
      <c r="AN34" s="20">
        <f t="shared" si="1"/>
        <v>1120</v>
      </c>
      <c r="AO34" s="21" t="str">
        <f>Übernahme_Werte!I36</f>
        <v xml:space="preserve"> </v>
      </c>
      <c r="AP34" s="20">
        <f t="shared" si="2"/>
        <v>1120</v>
      </c>
      <c r="AQ34" s="21" t="str">
        <f>Übernahme_Werte!K36</f>
        <v xml:space="preserve"> </v>
      </c>
      <c r="AR34" s="20">
        <f t="shared" si="3"/>
        <v>1120</v>
      </c>
      <c r="AS34" s="21" t="str">
        <f>Übernahme_Werte!M36</f>
        <v xml:space="preserve"> </v>
      </c>
      <c r="AT34" s="20">
        <f t="shared" si="4"/>
        <v>1120</v>
      </c>
      <c r="AU34" s="21" t="str">
        <f>Übernahme_Werte!O36</f>
        <v xml:space="preserve"> </v>
      </c>
      <c r="AV34" s="20">
        <f t="shared" si="5"/>
        <v>1120</v>
      </c>
      <c r="AW34" s="54"/>
      <c r="AX34" s="53"/>
      <c r="AY34" s="81"/>
      <c r="AZ34" s="1">
        <f t="shared" si="6"/>
        <v>-1</v>
      </c>
      <c r="BB34" s="1">
        <f t="shared" si="7"/>
        <v>-1</v>
      </c>
      <c r="BD34" s="1">
        <f t="shared" si="8"/>
        <v>-1</v>
      </c>
      <c r="BF34" s="1">
        <f t="shared" si="9"/>
        <v>-1</v>
      </c>
      <c r="BH34" s="1">
        <f t="shared" si="10"/>
        <v>-1</v>
      </c>
      <c r="BJ34" s="1">
        <f t="shared" si="11"/>
        <v>-1</v>
      </c>
    </row>
    <row r="35" spans="18:62" x14ac:dyDescent="0.25">
      <c r="R35" s="266" t="str">
        <f>Übernahme_Werte!A37&amp;" (Mineralphase)"</f>
        <v>Ni (Mineralphase)</v>
      </c>
      <c r="T35" s="40" t="s">
        <v>20</v>
      </c>
      <c r="U35" s="21" t="str">
        <f>Übernahme_Werte!E37</f>
        <v xml:space="preserve"> </v>
      </c>
      <c r="V35" s="38">
        <f>Übernahme_Werte!F37*(1-(Übernahme_Werte!F$11+Übernahme_Werte!F$10))*(1-Übernahme_Werte!F$9)*(1-(Übernahme_Werte!F$6+Übernahme_Werte!F$8))</f>
        <v>680.11363636363637</v>
      </c>
      <c r="W35" s="21" t="str">
        <f>Übernahme_Werte!G37</f>
        <v xml:space="preserve"> </v>
      </c>
      <c r="X35" s="38">
        <f>Übernahme_Werte!H37*(1-(Übernahme_Werte!H$11+Übernahme_Werte!H$10))*(1-Übernahme_Werte!H$9)*(1-(Übernahme_Werte!H$6+Übernahme_Werte!H$8))</f>
        <v>673.63636363636363</v>
      </c>
      <c r="Y35" s="21" t="str">
        <f>Übernahme_Werte!I37</f>
        <v xml:space="preserve"> </v>
      </c>
      <c r="Z35" s="38">
        <f>Übernahme_Werte!J37*(1-(Übernahme_Werte!J$11+Übernahme_Werte!J$10))*(1-Übernahme_Werte!J$9)*(1-(Übernahme_Werte!J$6+Übernahme_Werte!J$8))</f>
        <v>673.63636363636363</v>
      </c>
      <c r="AA35" s="21" t="str">
        <f>Übernahme_Werte!K37</f>
        <v xml:space="preserve"> </v>
      </c>
      <c r="AB35" s="38">
        <f>Übernahme_Werte!L37*(1-(Übernahme_Werte!L$11+Übernahme_Werte!L$10))*(1-Übernahme_Werte!L$9)*(1-(Übernahme_Werte!L$6+Übernahme_Werte!L$8))</f>
        <v>673.63636363636363</v>
      </c>
      <c r="AC35" s="21" t="str">
        <f>Übernahme_Werte!M37</f>
        <v xml:space="preserve"> </v>
      </c>
      <c r="AD35" s="38">
        <f>Übernahme_Werte!N37*(1-(Übernahme_Werte!N$11+Übernahme_Werte!N$10))*(1-Übernahme_Werte!N$9)*(1-(Übernahme_Werte!N$6+Übernahme_Werte!N$8))</f>
        <v>673.63636363636363</v>
      </c>
      <c r="AE35" s="21" t="str">
        <f>Übernahme_Werte!O37</f>
        <v xml:space="preserve"> </v>
      </c>
      <c r="AF35" s="38">
        <f>Übernahme_Werte!P37*(1-(Übernahme_Werte!P$11+Übernahme_Werte!P$10))*(1-Übernahme_Werte!P$9)*(1-(Übernahme_Werte!P$6+Übernahme_Werte!P$8))</f>
        <v>673.63636363636363</v>
      </c>
      <c r="AG35" s="47"/>
      <c r="AH35" s="47"/>
      <c r="AI35" s="55" t="str">
        <f>Übernahme_Werte!A37</f>
        <v>Ni</v>
      </c>
      <c r="AJ35" s="40" t="s">
        <v>20</v>
      </c>
      <c r="AK35" s="21" t="str">
        <f>Übernahme_Werte!E37</f>
        <v xml:space="preserve"> </v>
      </c>
      <c r="AL35" s="20">
        <f t="shared" si="0"/>
        <v>680</v>
      </c>
      <c r="AM35" s="21" t="str">
        <f>Übernahme_Werte!G37</f>
        <v xml:space="preserve"> </v>
      </c>
      <c r="AN35" s="20">
        <f t="shared" si="1"/>
        <v>674</v>
      </c>
      <c r="AO35" s="21" t="str">
        <f>Übernahme_Werte!I37</f>
        <v xml:space="preserve"> </v>
      </c>
      <c r="AP35" s="20">
        <f t="shared" si="2"/>
        <v>674</v>
      </c>
      <c r="AQ35" s="21" t="str">
        <f>Übernahme_Werte!K37</f>
        <v xml:space="preserve"> </v>
      </c>
      <c r="AR35" s="20">
        <f t="shared" si="3"/>
        <v>674</v>
      </c>
      <c r="AS35" s="21" t="str">
        <f>Übernahme_Werte!M37</f>
        <v xml:space="preserve"> </v>
      </c>
      <c r="AT35" s="20">
        <f t="shared" si="4"/>
        <v>674</v>
      </c>
      <c r="AU35" s="21" t="str">
        <f>Übernahme_Werte!O37</f>
        <v xml:space="preserve"> </v>
      </c>
      <c r="AV35" s="20">
        <f t="shared" si="5"/>
        <v>674</v>
      </c>
      <c r="AW35" s="54"/>
      <c r="AX35" s="53"/>
      <c r="AY35" s="81"/>
      <c r="AZ35" s="1">
        <f t="shared" si="6"/>
        <v>0</v>
      </c>
      <c r="BB35" s="1">
        <f t="shared" si="7"/>
        <v>0</v>
      </c>
      <c r="BD35" s="1">
        <f t="shared" si="8"/>
        <v>0</v>
      </c>
      <c r="BF35" s="1">
        <f t="shared" si="9"/>
        <v>0</v>
      </c>
      <c r="BH35" s="1">
        <f t="shared" si="10"/>
        <v>0</v>
      </c>
      <c r="BJ35" s="1">
        <f t="shared" si="11"/>
        <v>0</v>
      </c>
    </row>
    <row r="36" spans="18:62" x14ac:dyDescent="0.25">
      <c r="R36" s="266" t="str">
        <f>Übernahme_Werte!A38&amp;" (Mineralphase)"</f>
        <v>P (Mineralphase)</v>
      </c>
      <c r="T36" s="40" t="s">
        <v>20</v>
      </c>
      <c r="U36" s="21" t="str">
        <f>Übernahme_Werte!E38</f>
        <v xml:space="preserve"> </v>
      </c>
      <c r="V36" s="38">
        <f>Übernahme_Werte!F38*(1-(Übernahme_Werte!F$11+Übernahme_Werte!F$10))*(1-Übernahme_Werte!F$9)*(1-(Übernahme_Werte!F$6+Übernahme_Werte!F$8))</f>
        <v>725.45454545454538</v>
      </c>
      <c r="W36" s="21" t="str">
        <f>Übernahme_Werte!G38</f>
        <v xml:space="preserve"> </v>
      </c>
      <c r="X36" s="38">
        <f>Übernahme_Werte!H38*(1-(Übernahme_Werte!H$11+Übernahme_Werte!H$10))*(1-Übernahme_Werte!H$9)*(1-(Übernahme_Werte!H$6+Übernahme_Werte!H$8))</f>
        <v>718.5454545454545</v>
      </c>
      <c r="Y36" s="21" t="str">
        <f>Übernahme_Werte!I38</f>
        <v xml:space="preserve"> </v>
      </c>
      <c r="Z36" s="38">
        <f>Übernahme_Werte!J38*(1-(Übernahme_Werte!J$11+Übernahme_Werte!J$10))*(1-Übernahme_Werte!J$9)*(1-(Übernahme_Werte!J$6+Übernahme_Werte!J$8))</f>
        <v>718.5454545454545</v>
      </c>
      <c r="AA36" s="21" t="str">
        <f>Übernahme_Werte!K38</f>
        <v xml:space="preserve"> </v>
      </c>
      <c r="AB36" s="38">
        <f>Übernahme_Werte!L38*(1-(Übernahme_Werte!L$11+Übernahme_Werte!L$10))*(1-Übernahme_Werte!L$9)*(1-(Übernahme_Werte!L$6+Übernahme_Werte!L$8))</f>
        <v>718.5454545454545</v>
      </c>
      <c r="AC36" s="21" t="str">
        <f>Übernahme_Werte!M38</f>
        <v xml:space="preserve"> </v>
      </c>
      <c r="AD36" s="38">
        <f>Übernahme_Werte!N38*(1-(Übernahme_Werte!N$11+Übernahme_Werte!N$10))*(1-Übernahme_Werte!N$9)*(1-(Übernahme_Werte!N$6+Übernahme_Werte!N$8))</f>
        <v>718.5454545454545</v>
      </c>
      <c r="AE36" s="21" t="str">
        <f>Übernahme_Werte!O38</f>
        <v xml:space="preserve"> </v>
      </c>
      <c r="AF36" s="38">
        <f>Übernahme_Werte!P38*(1-(Übernahme_Werte!P$11+Übernahme_Werte!P$10))*(1-Übernahme_Werte!P$9)*(1-(Übernahme_Werte!P$6+Übernahme_Werte!P$8))</f>
        <v>718.5454545454545</v>
      </c>
      <c r="AG36" s="47"/>
      <c r="AH36" s="47"/>
      <c r="AI36" s="55" t="str">
        <f>Übernahme_Werte!A38</f>
        <v>P</v>
      </c>
      <c r="AJ36" s="40" t="s">
        <v>20</v>
      </c>
      <c r="AK36" s="21" t="str">
        <f>Übernahme_Werte!E38</f>
        <v xml:space="preserve"> </v>
      </c>
      <c r="AL36" s="20">
        <f t="shared" si="0"/>
        <v>725</v>
      </c>
      <c r="AM36" s="21" t="str">
        <f>Übernahme_Werte!G38</f>
        <v xml:space="preserve"> </v>
      </c>
      <c r="AN36" s="20">
        <f t="shared" si="1"/>
        <v>719</v>
      </c>
      <c r="AO36" s="21" t="str">
        <f>Übernahme_Werte!I38</f>
        <v xml:space="preserve"> </v>
      </c>
      <c r="AP36" s="20">
        <f t="shared" si="2"/>
        <v>719</v>
      </c>
      <c r="AQ36" s="21" t="str">
        <f>Übernahme_Werte!K38</f>
        <v xml:space="preserve"> </v>
      </c>
      <c r="AR36" s="20">
        <f t="shared" si="3"/>
        <v>719</v>
      </c>
      <c r="AS36" s="21" t="str">
        <f>Übernahme_Werte!M38</f>
        <v xml:space="preserve"> </v>
      </c>
      <c r="AT36" s="20">
        <f t="shared" si="4"/>
        <v>719</v>
      </c>
      <c r="AU36" s="21" t="str">
        <f>Übernahme_Werte!O38</f>
        <v xml:space="preserve"> </v>
      </c>
      <c r="AV36" s="20">
        <f t="shared" si="5"/>
        <v>719</v>
      </c>
      <c r="AW36" s="39"/>
      <c r="AX36" s="9"/>
      <c r="AY36" s="81"/>
      <c r="AZ36" s="1">
        <f t="shared" si="6"/>
        <v>0</v>
      </c>
      <c r="BB36" s="1">
        <f t="shared" si="7"/>
        <v>0</v>
      </c>
      <c r="BD36" s="1">
        <f t="shared" si="8"/>
        <v>0</v>
      </c>
      <c r="BF36" s="1">
        <f t="shared" si="9"/>
        <v>0</v>
      </c>
      <c r="BH36" s="1">
        <f t="shared" si="10"/>
        <v>0</v>
      </c>
      <c r="BJ36" s="1">
        <f t="shared" si="11"/>
        <v>0</v>
      </c>
    </row>
    <row r="37" spans="18:62" x14ac:dyDescent="0.25">
      <c r="R37" s="266" t="str">
        <f>Übernahme_Werte!A39&amp;" (Mineralphase)"</f>
        <v>Pb (Mineralphase)</v>
      </c>
      <c r="T37" s="40" t="s">
        <v>20</v>
      </c>
      <c r="U37" s="21" t="str">
        <f>Übernahme_Werte!E39</f>
        <v xml:space="preserve"> </v>
      </c>
      <c r="V37" s="38">
        <f>Übernahme_Werte!F39*(1-(Übernahme_Werte!F$11+Übernahme_Werte!F$10))*(1-Übernahme_Werte!F$9)*(1-(Übernahme_Werte!F$6+Übernahme_Werte!F$8))</f>
        <v>770.7954545454545</v>
      </c>
      <c r="W37" s="21" t="str">
        <f>Übernahme_Werte!G39</f>
        <v xml:space="preserve"> </v>
      </c>
      <c r="X37" s="38">
        <f>Übernahme_Werte!H39*(1-(Übernahme_Werte!H$11+Übernahme_Werte!H$10))*(1-Übernahme_Werte!H$9)*(1-(Übernahme_Werte!H$6+Übernahme_Werte!H$8))</f>
        <v>763.45454545454538</v>
      </c>
      <c r="Y37" s="21" t="str">
        <f>Übernahme_Werte!I39</f>
        <v xml:space="preserve"> </v>
      </c>
      <c r="Z37" s="38">
        <f>Übernahme_Werte!J39*(1-(Übernahme_Werte!J$11+Übernahme_Werte!J$10))*(1-Übernahme_Werte!J$9)*(1-(Übernahme_Werte!J$6+Übernahme_Werte!J$8))</f>
        <v>763.45454545454538</v>
      </c>
      <c r="AA37" s="21" t="str">
        <f>Übernahme_Werte!K39</f>
        <v xml:space="preserve"> </v>
      </c>
      <c r="AB37" s="38">
        <f>Übernahme_Werte!L39*(1-(Übernahme_Werte!L$11+Übernahme_Werte!L$10))*(1-Übernahme_Werte!L$9)*(1-(Übernahme_Werte!L$6+Übernahme_Werte!L$8))</f>
        <v>763.45454545454538</v>
      </c>
      <c r="AC37" s="21" t="str">
        <f>Übernahme_Werte!M39</f>
        <v xml:space="preserve"> </v>
      </c>
      <c r="AD37" s="38">
        <f>Übernahme_Werte!N39*(1-(Übernahme_Werte!N$11+Übernahme_Werte!N$10))*(1-Übernahme_Werte!N$9)*(1-(Übernahme_Werte!N$6+Übernahme_Werte!N$8))</f>
        <v>763.45454545454538</v>
      </c>
      <c r="AE37" s="21" t="str">
        <f>Übernahme_Werte!O39</f>
        <v xml:space="preserve"> </v>
      </c>
      <c r="AF37" s="38">
        <f>Übernahme_Werte!P39*(1-(Übernahme_Werte!P$11+Übernahme_Werte!P$10))*(1-Übernahme_Werte!P$9)*(1-(Übernahme_Werte!P$6+Übernahme_Werte!P$8))</f>
        <v>763.45454545454538</v>
      </c>
      <c r="AG37" s="47"/>
      <c r="AH37" s="47"/>
      <c r="AI37" s="55" t="str">
        <f>Übernahme_Werte!A39</f>
        <v>Pb</v>
      </c>
      <c r="AJ37" s="40" t="s">
        <v>20</v>
      </c>
      <c r="AK37" s="21" t="str">
        <f>Übernahme_Werte!E39</f>
        <v xml:space="preserve"> </v>
      </c>
      <c r="AL37" s="20">
        <f t="shared" si="0"/>
        <v>771</v>
      </c>
      <c r="AM37" s="21" t="str">
        <f>Übernahme_Werte!G39</f>
        <v xml:space="preserve"> </v>
      </c>
      <c r="AN37" s="20">
        <f t="shared" si="1"/>
        <v>763</v>
      </c>
      <c r="AO37" s="21" t="str">
        <f>Übernahme_Werte!I39</f>
        <v xml:space="preserve"> </v>
      </c>
      <c r="AP37" s="20">
        <f t="shared" si="2"/>
        <v>763</v>
      </c>
      <c r="AQ37" s="21" t="str">
        <f>Übernahme_Werte!K39</f>
        <v xml:space="preserve"> </v>
      </c>
      <c r="AR37" s="20">
        <f t="shared" si="3"/>
        <v>763</v>
      </c>
      <c r="AS37" s="21" t="str">
        <f>Übernahme_Werte!M39</f>
        <v xml:space="preserve"> </v>
      </c>
      <c r="AT37" s="20">
        <f t="shared" si="4"/>
        <v>763</v>
      </c>
      <c r="AU37" s="21" t="str">
        <f>Übernahme_Werte!O39</f>
        <v xml:space="preserve"> </v>
      </c>
      <c r="AV37" s="20">
        <f t="shared" si="5"/>
        <v>763</v>
      </c>
      <c r="AW37" s="39"/>
      <c r="AX37" s="9"/>
      <c r="AY37" s="81"/>
      <c r="AZ37" s="1">
        <f t="shared" si="6"/>
        <v>0</v>
      </c>
      <c r="BB37" s="1">
        <f t="shared" si="7"/>
        <v>0</v>
      </c>
      <c r="BD37" s="1">
        <f t="shared" si="8"/>
        <v>0</v>
      </c>
      <c r="BF37" s="1">
        <f t="shared" si="9"/>
        <v>0</v>
      </c>
      <c r="BH37" s="1">
        <f t="shared" si="10"/>
        <v>0</v>
      </c>
      <c r="BJ37" s="1">
        <f t="shared" si="11"/>
        <v>0</v>
      </c>
    </row>
    <row r="38" spans="18:62" x14ac:dyDescent="0.25">
      <c r="R38" s="266" t="str">
        <f>Übernahme_Werte!A40&amp;" (Mineralphase)"</f>
        <v>S (Mineralphase)</v>
      </c>
      <c r="T38" s="40" t="s">
        <v>20</v>
      </c>
      <c r="U38" s="21" t="str">
        <f>Übernahme_Werte!E40</f>
        <v xml:space="preserve"> </v>
      </c>
      <c r="V38" s="38">
        <f>Übernahme_Werte!F40*(1-(Übernahme_Werte!F$11+Übernahme_Werte!F$10))*(1-Übernahme_Werte!F$9)*(1-(Übernahme_Werte!F$6+Übernahme_Werte!F$8))</f>
        <v>816.13636363636363</v>
      </c>
      <c r="W38" s="21" t="str">
        <f>Übernahme_Werte!G40</f>
        <v xml:space="preserve"> </v>
      </c>
      <c r="X38" s="38">
        <f>Übernahme_Werte!H40*(1-(Übernahme_Werte!H$11+Übernahme_Werte!H$10))*(1-Übernahme_Werte!H$9)*(1-(Übernahme_Werte!H$6+Übernahme_Werte!H$8))</f>
        <v>808.36363636363637</v>
      </c>
      <c r="Y38" s="21" t="str">
        <f>Übernahme_Werte!I40</f>
        <v xml:space="preserve"> </v>
      </c>
      <c r="Z38" s="38">
        <f>Übernahme_Werte!J40*(1-(Übernahme_Werte!J$11+Übernahme_Werte!J$10))*(1-Übernahme_Werte!J$9)*(1-(Übernahme_Werte!J$6+Übernahme_Werte!J$8))</f>
        <v>808.36363636363637</v>
      </c>
      <c r="AA38" s="21" t="str">
        <f>Übernahme_Werte!K40</f>
        <v xml:space="preserve"> </v>
      </c>
      <c r="AB38" s="38">
        <f>Übernahme_Werte!L40*(1-(Übernahme_Werte!L$11+Übernahme_Werte!L$10))*(1-Übernahme_Werte!L$9)*(1-(Übernahme_Werte!L$6+Übernahme_Werte!L$8))</f>
        <v>808.36363636363637</v>
      </c>
      <c r="AC38" s="21" t="str">
        <f>Übernahme_Werte!M40</f>
        <v xml:space="preserve"> </v>
      </c>
      <c r="AD38" s="38">
        <f>Übernahme_Werte!N40*(1-(Übernahme_Werte!N$11+Übernahme_Werte!N$10))*(1-Übernahme_Werte!N$9)*(1-(Übernahme_Werte!N$6+Übernahme_Werte!N$8))</f>
        <v>808.36363636363637</v>
      </c>
      <c r="AE38" s="21" t="str">
        <f>Übernahme_Werte!O40</f>
        <v xml:space="preserve"> </v>
      </c>
      <c r="AF38" s="38">
        <f>Übernahme_Werte!P40*(1-(Übernahme_Werte!P$11+Übernahme_Werte!P$10))*(1-Übernahme_Werte!P$9)*(1-(Übernahme_Werte!P$6+Übernahme_Werte!P$8))</f>
        <v>808.36363636363637</v>
      </c>
      <c r="AG38" s="47"/>
      <c r="AH38" s="47"/>
      <c r="AI38" s="55" t="str">
        <f>Übernahme_Werte!A40</f>
        <v>S</v>
      </c>
      <c r="AJ38" s="40" t="s">
        <v>20</v>
      </c>
      <c r="AK38" s="21" t="str">
        <f>Übernahme_Werte!E40</f>
        <v xml:space="preserve"> </v>
      </c>
      <c r="AL38" s="20">
        <f t="shared" si="0"/>
        <v>816</v>
      </c>
      <c r="AM38" s="21" t="str">
        <f>Übernahme_Werte!G40</f>
        <v xml:space="preserve"> </v>
      </c>
      <c r="AN38" s="20">
        <f t="shared" si="1"/>
        <v>808</v>
      </c>
      <c r="AO38" s="21" t="str">
        <f>Übernahme_Werte!I40</f>
        <v xml:space="preserve"> </v>
      </c>
      <c r="AP38" s="20">
        <f t="shared" si="2"/>
        <v>808</v>
      </c>
      <c r="AQ38" s="21" t="str">
        <f>Übernahme_Werte!K40</f>
        <v xml:space="preserve"> </v>
      </c>
      <c r="AR38" s="20">
        <f t="shared" si="3"/>
        <v>808</v>
      </c>
      <c r="AS38" s="21" t="str">
        <f>Übernahme_Werte!M40</f>
        <v xml:space="preserve"> </v>
      </c>
      <c r="AT38" s="20">
        <f t="shared" si="4"/>
        <v>808</v>
      </c>
      <c r="AU38" s="21" t="str">
        <f>Übernahme_Werte!O40</f>
        <v xml:space="preserve"> </v>
      </c>
      <c r="AV38" s="20">
        <f t="shared" si="5"/>
        <v>808</v>
      </c>
      <c r="AW38" s="39"/>
      <c r="AX38" s="9"/>
      <c r="AY38" s="81"/>
      <c r="AZ38" s="1">
        <f t="shared" si="6"/>
        <v>0</v>
      </c>
      <c r="BB38" s="1">
        <f t="shared" si="7"/>
        <v>0</v>
      </c>
      <c r="BD38" s="1">
        <f t="shared" si="8"/>
        <v>0</v>
      </c>
      <c r="BF38" s="1">
        <f t="shared" si="9"/>
        <v>0</v>
      </c>
      <c r="BH38" s="1">
        <f t="shared" si="10"/>
        <v>0</v>
      </c>
      <c r="BJ38" s="1">
        <f t="shared" si="11"/>
        <v>0</v>
      </c>
    </row>
    <row r="39" spans="18:62" x14ac:dyDescent="0.25">
      <c r="R39" s="266" t="str">
        <f>Übernahme_Werte!A41&amp;" (Mineralphase)"</f>
        <v>Sb (Mineralphase)</v>
      </c>
      <c r="T39" s="40" t="s">
        <v>20</v>
      </c>
      <c r="U39" s="21" t="str">
        <f>Übernahme_Werte!E41</f>
        <v xml:space="preserve"> </v>
      </c>
      <c r="V39" s="38">
        <f>Übernahme_Werte!F41*(1-(Übernahme_Werte!F$11+Übernahme_Werte!F$10))*(1-Übernahme_Werte!F$9)*(1-(Übernahme_Werte!F$6+Übernahme_Werte!F$8))</f>
        <v>861.47727272727275</v>
      </c>
      <c r="W39" s="21" t="str">
        <f>Übernahme_Werte!G41</f>
        <v xml:space="preserve"> </v>
      </c>
      <c r="X39" s="38">
        <f>Übernahme_Werte!H41*(1-(Übernahme_Werte!H$11+Übernahme_Werte!H$10))*(1-Übernahme_Werte!H$9)*(1-(Übernahme_Werte!H$6+Übernahme_Werte!H$8))</f>
        <v>853.27272727272725</v>
      </c>
      <c r="Y39" s="21" t="str">
        <f>Übernahme_Werte!I41</f>
        <v xml:space="preserve"> </v>
      </c>
      <c r="Z39" s="38">
        <f>Übernahme_Werte!J41*(1-(Übernahme_Werte!J$11+Übernahme_Werte!J$10))*(1-Übernahme_Werte!J$9)*(1-(Übernahme_Werte!J$6+Übernahme_Werte!J$8))</f>
        <v>853.27272727272725</v>
      </c>
      <c r="AA39" s="21" t="str">
        <f>Übernahme_Werte!K41</f>
        <v xml:space="preserve"> </v>
      </c>
      <c r="AB39" s="38">
        <f>Übernahme_Werte!L41*(1-(Übernahme_Werte!L$11+Übernahme_Werte!L$10))*(1-Übernahme_Werte!L$9)*(1-(Übernahme_Werte!L$6+Übernahme_Werte!L$8))</f>
        <v>853.27272727272725</v>
      </c>
      <c r="AC39" s="21" t="str">
        <f>Übernahme_Werte!M41</f>
        <v xml:space="preserve"> </v>
      </c>
      <c r="AD39" s="38">
        <f>Übernahme_Werte!N41*(1-(Übernahme_Werte!N$11+Übernahme_Werte!N$10))*(1-Übernahme_Werte!N$9)*(1-(Übernahme_Werte!N$6+Übernahme_Werte!N$8))</f>
        <v>853.27272727272725</v>
      </c>
      <c r="AE39" s="21" t="str">
        <f>Übernahme_Werte!O41</f>
        <v xml:space="preserve"> </v>
      </c>
      <c r="AF39" s="38">
        <f>Übernahme_Werte!P41*(1-(Übernahme_Werte!P$11+Übernahme_Werte!P$10))*(1-Übernahme_Werte!P$9)*(1-(Übernahme_Werte!P$6+Übernahme_Werte!P$8))</f>
        <v>853.27272727272725</v>
      </c>
      <c r="AG39" s="47"/>
      <c r="AH39" s="47"/>
      <c r="AI39" s="55" t="str">
        <f>Übernahme_Werte!A41</f>
        <v>Sb</v>
      </c>
      <c r="AJ39" s="40" t="s">
        <v>20</v>
      </c>
      <c r="AK39" s="21" t="str">
        <f>Übernahme_Werte!E41</f>
        <v xml:space="preserve"> </v>
      </c>
      <c r="AL39" s="20">
        <f t="shared" si="0"/>
        <v>861</v>
      </c>
      <c r="AM39" s="21" t="str">
        <f>Übernahme_Werte!G41</f>
        <v xml:space="preserve"> </v>
      </c>
      <c r="AN39" s="20">
        <f t="shared" si="1"/>
        <v>853</v>
      </c>
      <c r="AO39" s="21" t="str">
        <f>Übernahme_Werte!I41</f>
        <v xml:space="preserve"> </v>
      </c>
      <c r="AP39" s="20">
        <f t="shared" si="2"/>
        <v>853</v>
      </c>
      <c r="AQ39" s="21" t="str">
        <f>Übernahme_Werte!K41</f>
        <v xml:space="preserve"> </v>
      </c>
      <c r="AR39" s="20">
        <f t="shared" si="3"/>
        <v>853</v>
      </c>
      <c r="AS39" s="21" t="str">
        <f>Übernahme_Werte!M41</f>
        <v xml:space="preserve"> </v>
      </c>
      <c r="AT39" s="20">
        <f t="shared" si="4"/>
        <v>853</v>
      </c>
      <c r="AU39" s="21" t="str">
        <f>Übernahme_Werte!O41</f>
        <v xml:space="preserve"> </v>
      </c>
      <c r="AV39" s="20">
        <f t="shared" si="5"/>
        <v>853</v>
      </c>
      <c r="AW39" s="39"/>
      <c r="AX39" s="9"/>
      <c r="AY39" s="81"/>
      <c r="AZ39" s="1">
        <f t="shared" si="6"/>
        <v>0</v>
      </c>
      <c r="BB39" s="1">
        <f t="shared" si="7"/>
        <v>0</v>
      </c>
      <c r="BD39" s="1">
        <f t="shared" si="8"/>
        <v>0</v>
      </c>
      <c r="BF39" s="1">
        <f t="shared" si="9"/>
        <v>0</v>
      </c>
      <c r="BH39" s="1">
        <f t="shared" si="10"/>
        <v>0</v>
      </c>
      <c r="BJ39" s="1">
        <f t="shared" si="11"/>
        <v>0</v>
      </c>
    </row>
    <row r="40" spans="18:62" x14ac:dyDescent="0.25">
      <c r="R40" s="266" t="str">
        <f>Übernahme_Werte!A42&amp;" (Mineralphase)"</f>
        <v>Se (Mineralphase)</v>
      </c>
      <c r="T40" s="40" t="s">
        <v>20</v>
      </c>
      <c r="U40" s="21" t="str">
        <f>Übernahme_Werte!E42</f>
        <v xml:space="preserve"> </v>
      </c>
      <c r="V40" s="38">
        <f>Übernahme_Werte!F42*(1-(Übernahme_Werte!F$11+Übernahme_Werte!F$10))*(1-Übernahme_Werte!F$9)*(1-(Übernahme_Werte!F$6+Übernahme_Werte!F$8))</f>
        <v>906.81818181818176</v>
      </c>
      <c r="W40" s="21" t="str">
        <f>Übernahme_Werte!G42</f>
        <v xml:space="preserve"> </v>
      </c>
      <c r="X40" s="38">
        <f>Übernahme_Werte!H42*(1-(Übernahme_Werte!H$11+Übernahme_Werte!H$10))*(1-Übernahme_Werte!H$9)*(1-(Übernahme_Werte!H$6+Übernahme_Werte!H$8))</f>
        <v>898.18181818181813</v>
      </c>
      <c r="Y40" s="21" t="str">
        <f>Übernahme_Werte!I42</f>
        <v xml:space="preserve"> </v>
      </c>
      <c r="Z40" s="38">
        <f>Übernahme_Werte!J42*(1-(Übernahme_Werte!J$11+Übernahme_Werte!J$10))*(1-Übernahme_Werte!J$9)*(1-(Übernahme_Werte!J$6+Übernahme_Werte!J$8))</f>
        <v>898.18181818181813</v>
      </c>
      <c r="AA40" s="21" t="str">
        <f>Übernahme_Werte!K42</f>
        <v xml:space="preserve"> </v>
      </c>
      <c r="AB40" s="38">
        <f>Übernahme_Werte!L42*(1-(Übernahme_Werte!L$11+Übernahme_Werte!L$10))*(1-Übernahme_Werte!L$9)*(1-(Übernahme_Werte!L$6+Übernahme_Werte!L$8))</f>
        <v>898.18181818181813</v>
      </c>
      <c r="AC40" s="21" t="str">
        <f>Übernahme_Werte!M42</f>
        <v xml:space="preserve"> </v>
      </c>
      <c r="AD40" s="38">
        <f>Übernahme_Werte!N42*(1-(Übernahme_Werte!N$11+Übernahme_Werte!N$10))*(1-Übernahme_Werte!N$9)*(1-(Übernahme_Werte!N$6+Übernahme_Werte!N$8))</f>
        <v>898.18181818181813</v>
      </c>
      <c r="AE40" s="21" t="str">
        <f>Übernahme_Werte!O42</f>
        <v xml:space="preserve"> </v>
      </c>
      <c r="AF40" s="38">
        <f>Übernahme_Werte!P42*(1-(Übernahme_Werte!P$11+Übernahme_Werte!P$10))*(1-Übernahme_Werte!P$9)*(1-(Übernahme_Werte!P$6+Übernahme_Werte!P$8))</f>
        <v>898.18181818181813</v>
      </c>
      <c r="AG40" s="47"/>
      <c r="AH40" s="47"/>
      <c r="AI40" s="55" t="str">
        <f>Übernahme_Werte!A42</f>
        <v>Se</v>
      </c>
      <c r="AJ40" s="40" t="s">
        <v>20</v>
      </c>
      <c r="AK40" s="21" t="str">
        <f>Übernahme_Werte!E42</f>
        <v xml:space="preserve"> </v>
      </c>
      <c r="AL40" s="20">
        <f t="shared" si="0"/>
        <v>907</v>
      </c>
      <c r="AM40" s="21" t="str">
        <f>Übernahme_Werte!G42</f>
        <v xml:space="preserve"> </v>
      </c>
      <c r="AN40" s="20">
        <f t="shared" si="1"/>
        <v>898</v>
      </c>
      <c r="AO40" s="21" t="str">
        <f>Übernahme_Werte!I42</f>
        <v xml:space="preserve"> </v>
      </c>
      <c r="AP40" s="20">
        <f t="shared" si="2"/>
        <v>898</v>
      </c>
      <c r="AQ40" s="21" t="str">
        <f>Übernahme_Werte!K42</f>
        <v xml:space="preserve"> </v>
      </c>
      <c r="AR40" s="20">
        <f t="shared" si="3"/>
        <v>898</v>
      </c>
      <c r="AS40" s="21" t="str">
        <f>Übernahme_Werte!M42</f>
        <v xml:space="preserve"> </v>
      </c>
      <c r="AT40" s="20">
        <f t="shared" si="4"/>
        <v>898</v>
      </c>
      <c r="AU40" s="21" t="str">
        <f>Übernahme_Werte!O42</f>
        <v xml:space="preserve"> </v>
      </c>
      <c r="AV40" s="20">
        <f t="shared" si="5"/>
        <v>898</v>
      </c>
      <c r="AW40" s="54"/>
      <c r="AX40" s="53"/>
      <c r="AY40" s="81"/>
      <c r="AZ40" s="1">
        <f t="shared" si="6"/>
        <v>0</v>
      </c>
      <c r="BB40" s="1">
        <f t="shared" si="7"/>
        <v>0</v>
      </c>
      <c r="BD40" s="1">
        <f t="shared" si="8"/>
        <v>0</v>
      </c>
      <c r="BF40" s="1">
        <f t="shared" si="9"/>
        <v>0</v>
      </c>
      <c r="BH40" s="1">
        <f t="shared" si="10"/>
        <v>0</v>
      </c>
      <c r="BJ40" s="1">
        <f t="shared" si="11"/>
        <v>0</v>
      </c>
    </row>
    <row r="41" spans="18:62" x14ac:dyDescent="0.25">
      <c r="R41" s="266" t="str">
        <f>Übernahme_Werte!A43&amp;" (Mineralphase)"</f>
        <v>Sn (Mineralphase)</v>
      </c>
      <c r="T41" s="40" t="s">
        <v>20</v>
      </c>
      <c r="U41" s="21" t="str">
        <f>Übernahme_Werte!E43</f>
        <v xml:space="preserve"> </v>
      </c>
      <c r="V41" s="38">
        <f>Übernahme_Werte!F43*(1-(Übernahme_Werte!F$11+Übernahme_Werte!F$10))*(1-Übernahme_Werte!F$9)*(1-(Übernahme_Werte!F$6+Übernahme_Werte!F$8))</f>
        <v>952.15909090909088</v>
      </c>
      <c r="W41" s="21" t="str">
        <f>Übernahme_Werte!G43</f>
        <v xml:space="preserve"> </v>
      </c>
      <c r="X41" s="38">
        <f>Übernahme_Werte!H43*(1-(Übernahme_Werte!H$11+Übernahme_Werte!H$10))*(1-Übernahme_Werte!H$9)*(1-(Übernahme_Werte!H$6+Übernahme_Werte!H$8))</f>
        <v>943.09090909090912</v>
      </c>
      <c r="Y41" s="21" t="str">
        <f>Übernahme_Werte!I43</f>
        <v xml:space="preserve"> </v>
      </c>
      <c r="Z41" s="38">
        <f>Übernahme_Werte!J43*(1-(Übernahme_Werte!J$11+Übernahme_Werte!J$10))*(1-Übernahme_Werte!J$9)*(1-(Übernahme_Werte!J$6+Übernahme_Werte!J$8))</f>
        <v>943.09090909090912</v>
      </c>
      <c r="AA41" s="21" t="str">
        <f>Übernahme_Werte!K43</f>
        <v xml:space="preserve"> </v>
      </c>
      <c r="AB41" s="38">
        <f>Übernahme_Werte!L43*(1-(Übernahme_Werte!L$11+Übernahme_Werte!L$10))*(1-Übernahme_Werte!L$9)*(1-(Übernahme_Werte!L$6+Übernahme_Werte!L$8))</f>
        <v>943.09090909090912</v>
      </c>
      <c r="AC41" s="21" t="str">
        <f>Übernahme_Werte!M43</f>
        <v xml:space="preserve"> </v>
      </c>
      <c r="AD41" s="38">
        <f>Übernahme_Werte!N43*(1-(Übernahme_Werte!N$11+Übernahme_Werte!N$10))*(1-Übernahme_Werte!N$9)*(1-(Übernahme_Werte!N$6+Übernahme_Werte!N$8))</f>
        <v>943.09090909090912</v>
      </c>
      <c r="AE41" s="21" t="str">
        <f>Übernahme_Werte!O43</f>
        <v xml:space="preserve"> </v>
      </c>
      <c r="AF41" s="38">
        <f>Übernahme_Werte!P43*(1-(Übernahme_Werte!P$11+Übernahme_Werte!P$10))*(1-Übernahme_Werte!P$9)*(1-(Übernahme_Werte!P$6+Übernahme_Werte!P$8))</f>
        <v>943.09090909090912</v>
      </c>
      <c r="AG41" s="47"/>
      <c r="AH41" s="47"/>
      <c r="AI41" s="55" t="str">
        <f>Übernahme_Werte!A43</f>
        <v>Sn</v>
      </c>
      <c r="AJ41" s="40" t="s">
        <v>20</v>
      </c>
      <c r="AK41" s="21" t="str">
        <f>Übernahme_Werte!E43</f>
        <v xml:space="preserve"> </v>
      </c>
      <c r="AL41" s="20">
        <f t="shared" si="0"/>
        <v>952</v>
      </c>
      <c r="AM41" s="21" t="str">
        <f>Übernahme_Werte!G43</f>
        <v xml:space="preserve"> </v>
      </c>
      <c r="AN41" s="20">
        <f t="shared" si="1"/>
        <v>943</v>
      </c>
      <c r="AO41" s="21" t="str">
        <f>Übernahme_Werte!I43</f>
        <v xml:space="preserve"> </v>
      </c>
      <c r="AP41" s="20">
        <f t="shared" si="2"/>
        <v>943</v>
      </c>
      <c r="AQ41" s="21" t="str">
        <f>Übernahme_Werte!K43</f>
        <v xml:space="preserve"> </v>
      </c>
      <c r="AR41" s="20">
        <f t="shared" si="3"/>
        <v>943</v>
      </c>
      <c r="AS41" s="21" t="str">
        <f>Übernahme_Werte!M43</f>
        <v xml:space="preserve"> </v>
      </c>
      <c r="AT41" s="20">
        <f t="shared" si="4"/>
        <v>943</v>
      </c>
      <c r="AU41" s="21" t="str">
        <f>Übernahme_Werte!O43</f>
        <v xml:space="preserve"> </v>
      </c>
      <c r="AV41" s="20">
        <f t="shared" si="5"/>
        <v>943</v>
      </c>
      <c r="AW41" s="54"/>
      <c r="AX41" s="53"/>
      <c r="AY41" s="81"/>
      <c r="AZ41" s="1">
        <f t="shared" si="6"/>
        <v>0</v>
      </c>
      <c r="BB41" s="1">
        <f t="shared" si="7"/>
        <v>0</v>
      </c>
      <c r="BD41" s="1">
        <f t="shared" si="8"/>
        <v>0</v>
      </c>
      <c r="BF41" s="1">
        <f t="shared" si="9"/>
        <v>0</v>
      </c>
      <c r="BH41" s="1">
        <f t="shared" si="10"/>
        <v>0</v>
      </c>
      <c r="BJ41" s="1">
        <f t="shared" si="11"/>
        <v>0</v>
      </c>
    </row>
    <row r="42" spans="18:62" x14ac:dyDescent="0.25">
      <c r="R42" s="266" t="str">
        <f>Übernahme_Werte!A44&amp;" (Mineralphase)"</f>
        <v>Te (Mineralphase)</v>
      </c>
      <c r="T42" s="40" t="s">
        <v>20</v>
      </c>
      <c r="U42" s="21" t="str">
        <f>Übernahme_Werte!E44</f>
        <v>&lt;</v>
      </c>
      <c r="V42" s="38">
        <f>Übernahme_Werte!F44*(1-(Übernahme_Werte!F$11+Übernahme_Werte!F$10))*(1-Übernahme_Werte!F$9)*(1-(Übernahme_Werte!F$6+Übernahme_Werte!F$8))</f>
        <v>4.5340909090909092</v>
      </c>
      <c r="W42" s="21" t="str">
        <f>Übernahme_Werte!G44</f>
        <v xml:space="preserve"> </v>
      </c>
      <c r="X42" s="38">
        <f>Übernahme_Werte!H44*(1-(Übernahme_Werte!H$11+Übernahme_Werte!H$10))*(1-Übernahme_Werte!H$9)*(1-(Übernahme_Werte!H$6+Übernahme_Werte!H$8))</f>
        <v>987.99999999999989</v>
      </c>
      <c r="Y42" s="21" t="str">
        <f>Übernahme_Werte!I44</f>
        <v xml:space="preserve"> </v>
      </c>
      <c r="Z42" s="38">
        <f>Übernahme_Werte!J44*(1-(Übernahme_Werte!J$11+Übernahme_Werte!J$10))*(1-Übernahme_Werte!J$9)*(1-(Übernahme_Werte!J$6+Übernahme_Werte!J$8))</f>
        <v>987.99999999999989</v>
      </c>
      <c r="AA42" s="21" t="str">
        <f>Übernahme_Werte!K44</f>
        <v xml:space="preserve"> </v>
      </c>
      <c r="AB42" s="38">
        <f>Übernahme_Werte!L44*(1-(Übernahme_Werte!L$11+Übernahme_Werte!L$10))*(1-Übernahme_Werte!L$9)*(1-(Übernahme_Werte!L$6+Übernahme_Werte!L$8))</f>
        <v>987.99999999999989</v>
      </c>
      <c r="AC42" s="21" t="str">
        <f>Übernahme_Werte!M44</f>
        <v xml:space="preserve"> </v>
      </c>
      <c r="AD42" s="38">
        <f>Übernahme_Werte!N44*(1-(Übernahme_Werte!N$11+Übernahme_Werte!N$10))*(1-Übernahme_Werte!N$9)*(1-(Übernahme_Werte!N$6+Übernahme_Werte!N$8))</f>
        <v>987.99999999999989</v>
      </c>
      <c r="AE42" s="21" t="str">
        <f>Übernahme_Werte!O44</f>
        <v xml:space="preserve"> </v>
      </c>
      <c r="AF42" s="38">
        <f>Übernahme_Werte!P44*(1-(Übernahme_Werte!P$11+Übernahme_Werte!P$10))*(1-Übernahme_Werte!P$9)*(1-(Übernahme_Werte!P$6+Übernahme_Werte!P$8))</f>
        <v>987.99999999999989</v>
      </c>
      <c r="AG42" s="47"/>
      <c r="AH42" s="47"/>
      <c r="AI42" s="55" t="str">
        <f>Übernahme_Werte!A44</f>
        <v>Te</v>
      </c>
      <c r="AJ42" s="40" t="s">
        <v>20</v>
      </c>
      <c r="AK42" s="21" t="str">
        <f>Übernahme_Werte!E44</f>
        <v>&lt;</v>
      </c>
      <c r="AL42" s="20">
        <f t="shared" si="0"/>
        <v>5</v>
      </c>
      <c r="AM42" s="21" t="str">
        <f>Übernahme_Werte!G44</f>
        <v xml:space="preserve"> </v>
      </c>
      <c r="AN42" s="20">
        <f t="shared" si="1"/>
        <v>988</v>
      </c>
      <c r="AO42" s="21" t="str">
        <f>Übernahme_Werte!I44</f>
        <v xml:space="preserve"> </v>
      </c>
      <c r="AP42" s="20">
        <f t="shared" si="2"/>
        <v>988</v>
      </c>
      <c r="AQ42" s="21" t="str">
        <f>Übernahme_Werte!K44</f>
        <v xml:space="preserve"> </v>
      </c>
      <c r="AR42" s="20">
        <f t="shared" si="3"/>
        <v>988</v>
      </c>
      <c r="AS42" s="21" t="str">
        <f>Übernahme_Werte!M44</f>
        <v xml:space="preserve"> </v>
      </c>
      <c r="AT42" s="20">
        <f t="shared" si="4"/>
        <v>988</v>
      </c>
      <c r="AU42" s="21" t="str">
        <f>Übernahme_Werte!O44</f>
        <v xml:space="preserve"> </v>
      </c>
      <c r="AV42" s="20">
        <f t="shared" si="5"/>
        <v>988</v>
      </c>
      <c r="AW42" s="54"/>
      <c r="AX42" s="53"/>
      <c r="AY42" s="81"/>
      <c r="AZ42" s="1">
        <f t="shared" si="6"/>
        <v>0</v>
      </c>
      <c r="BB42" s="1">
        <f t="shared" si="7"/>
        <v>0</v>
      </c>
      <c r="BD42" s="1">
        <f t="shared" si="8"/>
        <v>0</v>
      </c>
      <c r="BF42" s="1">
        <f t="shared" si="9"/>
        <v>0</v>
      </c>
      <c r="BH42" s="1">
        <f t="shared" si="10"/>
        <v>0</v>
      </c>
      <c r="BJ42" s="1">
        <f t="shared" si="11"/>
        <v>0</v>
      </c>
    </row>
    <row r="43" spans="18:62" x14ac:dyDescent="0.25">
      <c r="R43" s="266" t="str">
        <f>Übernahme_Werte!A45&amp;" (Mineralphase)"</f>
        <v>Ti (Mineralphase)</v>
      </c>
      <c r="T43" s="40" t="s">
        <v>20</v>
      </c>
      <c r="U43" s="21" t="str">
        <f>Übernahme_Werte!E45</f>
        <v xml:space="preserve"> </v>
      </c>
      <c r="V43" s="38">
        <f>Übernahme_Werte!F45*(1-(Übernahme_Werte!F$11+Übernahme_Werte!F$10))*(1-Übernahme_Werte!F$9)*(1-(Übernahme_Werte!F$6+Übernahme_Werte!F$8))</f>
        <v>1042.840909090909</v>
      </c>
      <c r="W43" s="21" t="str">
        <f>Übernahme_Werte!G45</f>
        <v xml:space="preserve"> </v>
      </c>
      <c r="X43" s="38">
        <f>Übernahme_Werte!H45*(1-(Übernahme_Werte!H$11+Übernahme_Werte!H$10))*(1-Übernahme_Werte!H$9)*(1-(Übernahme_Werte!H$6+Übernahme_Werte!H$8))</f>
        <v>1032.909090909091</v>
      </c>
      <c r="Y43" s="21" t="str">
        <f>Übernahme_Werte!I45</f>
        <v xml:space="preserve"> </v>
      </c>
      <c r="Z43" s="38">
        <f>Übernahme_Werte!J45*(1-(Übernahme_Werte!J$11+Übernahme_Werte!J$10))*(1-Übernahme_Werte!J$9)*(1-(Übernahme_Werte!J$6+Übernahme_Werte!J$8))</f>
        <v>1032.909090909091</v>
      </c>
      <c r="AA43" s="21" t="str">
        <f>Übernahme_Werte!K45</f>
        <v xml:space="preserve"> </v>
      </c>
      <c r="AB43" s="38">
        <f>Übernahme_Werte!L45*(1-(Übernahme_Werte!L$11+Übernahme_Werte!L$10))*(1-Übernahme_Werte!L$9)*(1-(Übernahme_Werte!L$6+Übernahme_Werte!L$8))</f>
        <v>1032.909090909091</v>
      </c>
      <c r="AC43" s="21" t="str">
        <f>Übernahme_Werte!M45</f>
        <v xml:space="preserve"> </v>
      </c>
      <c r="AD43" s="38">
        <f>Übernahme_Werte!N45*(1-(Übernahme_Werte!N$11+Übernahme_Werte!N$10))*(1-Übernahme_Werte!N$9)*(1-(Übernahme_Werte!N$6+Übernahme_Werte!N$8))</f>
        <v>1032.909090909091</v>
      </c>
      <c r="AE43" s="21" t="str">
        <f>Übernahme_Werte!O45</f>
        <v xml:space="preserve"> </v>
      </c>
      <c r="AF43" s="38">
        <f>Übernahme_Werte!P45*(1-(Übernahme_Werte!P$11+Übernahme_Werte!P$10))*(1-Übernahme_Werte!P$9)*(1-(Übernahme_Werte!P$6+Übernahme_Werte!P$8))</f>
        <v>1032.909090909091</v>
      </c>
      <c r="AG43" s="47"/>
      <c r="AH43" s="47"/>
      <c r="AI43" s="55" t="str">
        <f>Übernahme_Werte!A45</f>
        <v>Ti</v>
      </c>
      <c r="AJ43" s="40" t="s">
        <v>20</v>
      </c>
      <c r="AK43" s="21" t="str">
        <f>Übernahme_Werte!E45</f>
        <v xml:space="preserve"> </v>
      </c>
      <c r="AL43" s="20">
        <f t="shared" si="0"/>
        <v>1040</v>
      </c>
      <c r="AM43" s="21" t="str">
        <f>Übernahme_Werte!G45</f>
        <v xml:space="preserve"> </v>
      </c>
      <c r="AN43" s="20">
        <f t="shared" si="1"/>
        <v>1030</v>
      </c>
      <c r="AO43" s="21" t="str">
        <f>Übernahme_Werte!I45</f>
        <v xml:space="preserve"> </v>
      </c>
      <c r="AP43" s="20">
        <f t="shared" si="2"/>
        <v>1030</v>
      </c>
      <c r="AQ43" s="21" t="str">
        <f>Übernahme_Werte!K45</f>
        <v xml:space="preserve"> </v>
      </c>
      <c r="AR43" s="20">
        <f t="shared" si="3"/>
        <v>1030</v>
      </c>
      <c r="AS43" s="21" t="str">
        <f>Übernahme_Werte!M45</f>
        <v xml:space="preserve"> </v>
      </c>
      <c r="AT43" s="20">
        <f t="shared" si="4"/>
        <v>1030</v>
      </c>
      <c r="AU43" s="21" t="str">
        <f>Übernahme_Werte!O45</f>
        <v xml:space="preserve"> </v>
      </c>
      <c r="AV43" s="20">
        <f t="shared" si="5"/>
        <v>1030</v>
      </c>
      <c r="AW43" s="54"/>
      <c r="AX43" s="53"/>
      <c r="AY43" s="81"/>
      <c r="AZ43" s="1">
        <f t="shared" si="6"/>
        <v>-1</v>
      </c>
      <c r="BB43" s="1">
        <f t="shared" si="7"/>
        <v>-1</v>
      </c>
      <c r="BD43" s="1">
        <f t="shared" si="8"/>
        <v>-1</v>
      </c>
      <c r="BF43" s="1">
        <f t="shared" si="9"/>
        <v>-1</v>
      </c>
      <c r="BH43" s="1">
        <f t="shared" si="10"/>
        <v>-1</v>
      </c>
      <c r="BJ43" s="1">
        <f t="shared" si="11"/>
        <v>-1</v>
      </c>
    </row>
    <row r="44" spans="18:62" x14ac:dyDescent="0.25">
      <c r="R44" s="266" t="str">
        <f>Übernahme_Werte!A46&amp;" (Mineralphase)"</f>
        <v>Tl (Mineralphase)</v>
      </c>
      <c r="T44" s="40" t="s">
        <v>20</v>
      </c>
      <c r="U44" s="21" t="str">
        <f>Übernahme_Werte!E46</f>
        <v xml:space="preserve"> </v>
      </c>
      <c r="V44" s="38">
        <f>Übernahme_Werte!F46*(1-(Übernahme_Werte!F$11+Übernahme_Werte!F$10))*(1-Übernahme_Werte!F$9)*(1-(Übernahme_Werte!F$6+Übernahme_Werte!F$8))</f>
        <v>1088.1818181818182</v>
      </c>
      <c r="W44" s="21" t="str">
        <f>Übernahme_Werte!G46</f>
        <v xml:space="preserve"> </v>
      </c>
      <c r="X44" s="38">
        <f>Übernahme_Werte!H46*(1-(Übernahme_Werte!H$11+Übernahme_Werte!H$10))*(1-Übernahme_Werte!H$9)*(1-(Übernahme_Werte!H$6+Übernahme_Werte!H$8))</f>
        <v>1077.8181818181818</v>
      </c>
      <c r="Y44" s="21" t="str">
        <f>Übernahme_Werte!I46</f>
        <v xml:space="preserve"> </v>
      </c>
      <c r="Z44" s="38">
        <f>Übernahme_Werte!J46*(1-(Übernahme_Werte!J$11+Übernahme_Werte!J$10))*(1-Übernahme_Werte!J$9)*(1-(Übernahme_Werte!J$6+Übernahme_Werte!J$8))</f>
        <v>1077.8181818181818</v>
      </c>
      <c r="AA44" s="21" t="str">
        <f>Übernahme_Werte!K46</f>
        <v xml:space="preserve"> </v>
      </c>
      <c r="AB44" s="38">
        <f>Übernahme_Werte!L46*(1-(Übernahme_Werte!L$11+Übernahme_Werte!L$10))*(1-Übernahme_Werte!L$9)*(1-(Übernahme_Werte!L$6+Übernahme_Werte!L$8))</f>
        <v>1077.8181818181818</v>
      </c>
      <c r="AC44" s="21" t="str">
        <f>Übernahme_Werte!M46</f>
        <v xml:space="preserve"> </v>
      </c>
      <c r="AD44" s="38">
        <f>Übernahme_Werte!N46*(1-(Übernahme_Werte!N$11+Übernahme_Werte!N$10))*(1-Übernahme_Werte!N$9)*(1-(Übernahme_Werte!N$6+Übernahme_Werte!N$8))</f>
        <v>1077.8181818181818</v>
      </c>
      <c r="AE44" s="21" t="str">
        <f>Übernahme_Werte!O46</f>
        <v xml:space="preserve"> </v>
      </c>
      <c r="AF44" s="38">
        <f>Übernahme_Werte!P46*(1-(Übernahme_Werte!P$11+Übernahme_Werte!P$10))*(1-Übernahme_Werte!P$9)*(1-(Übernahme_Werte!P$6+Übernahme_Werte!P$8))</f>
        <v>1077.8181818181818</v>
      </c>
      <c r="AG44" s="47"/>
      <c r="AH44" s="47"/>
      <c r="AI44" s="55" t="str">
        <f>Übernahme_Werte!A46</f>
        <v>Tl</v>
      </c>
      <c r="AJ44" s="40" t="s">
        <v>20</v>
      </c>
      <c r="AK44" s="21" t="str">
        <f>Übernahme_Werte!E46</f>
        <v xml:space="preserve"> </v>
      </c>
      <c r="AL44" s="20">
        <f t="shared" si="0"/>
        <v>1090</v>
      </c>
      <c r="AM44" s="21" t="str">
        <f>Übernahme_Werte!G46</f>
        <v xml:space="preserve"> </v>
      </c>
      <c r="AN44" s="20">
        <f t="shared" si="1"/>
        <v>1080</v>
      </c>
      <c r="AO44" s="21" t="str">
        <f>Übernahme_Werte!I46</f>
        <v xml:space="preserve"> </v>
      </c>
      <c r="AP44" s="20">
        <f t="shared" si="2"/>
        <v>1080</v>
      </c>
      <c r="AQ44" s="21" t="str">
        <f>Übernahme_Werte!K46</f>
        <v xml:space="preserve"> </v>
      </c>
      <c r="AR44" s="20">
        <f t="shared" si="3"/>
        <v>1080</v>
      </c>
      <c r="AS44" s="21" t="str">
        <f>Übernahme_Werte!M46</f>
        <v xml:space="preserve"> </v>
      </c>
      <c r="AT44" s="20">
        <f t="shared" si="4"/>
        <v>1080</v>
      </c>
      <c r="AU44" s="21" t="str">
        <f>Übernahme_Werte!O46</f>
        <v xml:space="preserve"> </v>
      </c>
      <c r="AV44" s="20">
        <f t="shared" si="5"/>
        <v>1080</v>
      </c>
      <c r="AW44" s="39"/>
      <c r="AX44" s="9"/>
      <c r="AY44" s="81"/>
      <c r="AZ44" s="1">
        <f t="shared" si="6"/>
        <v>-1</v>
      </c>
      <c r="BB44" s="1">
        <f t="shared" si="7"/>
        <v>-1</v>
      </c>
      <c r="BD44" s="1">
        <f t="shared" si="8"/>
        <v>-1</v>
      </c>
      <c r="BF44" s="1">
        <f t="shared" si="9"/>
        <v>-1</v>
      </c>
      <c r="BH44" s="1">
        <f t="shared" si="10"/>
        <v>-1</v>
      </c>
      <c r="BJ44" s="1">
        <f t="shared" si="11"/>
        <v>-1</v>
      </c>
    </row>
    <row r="45" spans="18:62" x14ac:dyDescent="0.25">
      <c r="R45" s="266" t="str">
        <f>Übernahme_Werte!A47&amp;" (Mineralphase)"</f>
        <v>V (Mineralphase)</v>
      </c>
      <c r="T45" s="40" t="s">
        <v>20</v>
      </c>
      <c r="U45" s="21" t="str">
        <f>Übernahme_Werte!E47</f>
        <v xml:space="preserve"> </v>
      </c>
      <c r="V45" s="38">
        <f>Übernahme_Werte!F47*(1-(Übernahme_Werte!F$11+Übernahme_Werte!F$10))*(1-Übernahme_Werte!F$9)*(1-(Übernahme_Werte!F$6+Übernahme_Werte!F$8))</f>
        <v>1133.5227272727273</v>
      </c>
      <c r="W45" s="21" t="str">
        <f>Übernahme_Werte!G47</f>
        <v xml:space="preserve"> </v>
      </c>
      <c r="X45" s="38">
        <f>Übernahme_Werte!H47*(1-(Übernahme_Werte!H$11+Übernahme_Werte!H$10))*(1-Übernahme_Werte!H$9)*(1-(Übernahme_Werte!H$6+Übernahme_Werte!H$8))</f>
        <v>1122.7272727272727</v>
      </c>
      <c r="Y45" s="21" t="str">
        <f>Übernahme_Werte!I47</f>
        <v xml:space="preserve"> </v>
      </c>
      <c r="Z45" s="38">
        <f>Übernahme_Werte!J47*(1-(Übernahme_Werte!J$11+Übernahme_Werte!J$10))*(1-Übernahme_Werte!J$9)*(1-(Übernahme_Werte!J$6+Übernahme_Werte!J$8))</f>
        <v>1122.7272727272727</v>
      </c>
      <c r="AA45" s="21" t="str">
        <f>Übernahme_Werte!K47</f>
        <v xml:space="preserve"> </v>
      </c>
      <c r="AB45" s="38">
        <f>Übernahme_Werte!L47*(1-(Übernahme_Werte!L$11+Übernahme_Werte!L$10))*(1-Übernahme_Werte!L$9)*(1-(Übernahme_Werte!L$6+Übernahme_Werte!L$8))</f>
        <v>1122.7272727272727</v>
      </c>
      <c r="AC45" s="21" t="str">
        <f>Übernahme_Werte!M47</f>
        <v xml:space="preserve"> </v>
      </c>
      <c r="AD45" s="38">
        <f>Übernahme_Werte!N47*(1-(Übernahme_Werte!N$11+Übernahme_Werte!N$10))*(1-Übernahme_Werte!N$9)*(1-(Übernahme_Werte!N$6+Übernahme_Werte!N$8))</f>
        <v>1122.7272727272727</v>
      </c>
      <c r="AE45" s="21" t="str">
        <f>Übernahme_Werte!O47</f>
        <v xml:space="preserve"> </v>
      </c>
      <c r="AF45" s="38">
        <f>Übernahme_Werte!P47*(1-(Übernahme_Werte!P$11+Übernahme_Werte!P$10))*(1-Übernahme_Werte!P$9)*(1-(Übernahme_Werte!P$6+Übernahme_Werte!P$8))</f>
        <v>1122.7272727272727</v>
      </c>
      <c r="AG45" s="47"/>
      <c r="AH45" s="47"/>
      <c r="AI45" s="55" t="str">
        <f>Übernahme_Werte!A47</f>
        <v>V</v>
      </c>
      <c r="AJ45" s="40" t="s">
        <v>20</v>
      </c>
      <c r="AK45" s="21" t="str">
        <f>Übernahme_Werte!E47</f>
        <v xml:space="preserve"> </v>
      </c>
      <c r="AL45" s="20">
        <f t="shared" si="0"/>
        <v>1130</v>
      </c>
      <c r="AM45" s="21" t="str">
        <f>Übernahme_Werte!G47</f>
        <v xml:space="preserve"> </v>
      </c>
      <c r="AN45" s="20">
        <f t="shared" si="1"/>
        <v>1120</v>
      </c>
      <c r="AO45" s="21" t="str">
        <f>Übernahme_Werte!I47</f>
        <v xml:space="preserve"> </v>
      </c>
      <c r="AP45" s="20">
        <f t="shared" si="2"/>
        <v>1120</v>
      </c>
      <c r="AQ45" s="21" t="str">
        <f>Übernahme_Werte!K47</f>
        <v xml:space="preserve"> </v>
      </c>
      <c r="AR45" s="20">
        <f t="shared" si="3"/>
        <v>1120</v>
      </c>
      <c r="AS45" s="21" t="str">
        <f>Übernahme_Werte!M47</f>
        <v xml:space="preserve"> </v>
      </c>
      <c r="AT45" s="20">
        <f t="shared" si="4"/>
        <v>1120</v>
      </c>
      <c r="AU45" s="21" t="str">
        <f>Übernahme_Werte!O47</f>
        <v xml:space="preserve"> </v>
      </c>
      <c r="AV45" s="20">
        <f t="shared" si="5"/>
        <v>1120</v>
      </c>
      <c r="AW45" s="54"/>
      <c r="AX45" s="53"/>
      <c r="AY45" s="81"/>
      <c r="AZ45" s="1">
        <f t="shared" si="6"/>
        <v>-1</v>
      </c>
      <c r="BB45" s="1">
        <f t="shared" si="7"/>
        <v>-1</v>
      </c>
      <c r="BD45" s="1">
        <f t="shared" si="8"/>
        <v>-1</v>
      </c>
      <c r="BF45" s="1">
        <f t="shared" si="9"/>
        <v>-1</v>
      </c>
      <c r="BH45" s="1">
        <f t="shared" si="10"/>
        <v>-1</v>
      </c>
      <c r="BJ45" s="1">
        <f t="shared" si="11"/>
        <v>-1</v>
      </c>
    </row>
    <row r="46" spans="18:62" x14ac:dyDescent="0.25">
      <c r="R46" s="266" t="str">
        <f>Übernahme_Werte!A48&amp;" (Mineralphase)"</f>
        <v>Zn (Mineralphase)</v>
      </c>
      <c r="T46" s="40" t="s">
        <v>20</v>
      </c>
      <c r="U46" s="21" t="str">
        <f>Übernahme_Werte!E48</f>
        <v xml:space="preserve"> </v>
      </c>
      <c r="V46" s="38">
        <f>Übernahme_Werte!F48*(1-(Übernahme_Werte!F$11+Übernahme_Werte!F$10))*(1-Übernahme_Werte!F$9)*(1-(Übernahme_Werte!F$6+Übernahme_Werte!F$8))</f>
        <v>1133.5227272727273</v>
      </c>
      <c r="W46" s="21" t="str">
        <f>Übernahme_Werte!G48</f>
        <v xml:space="preserve"> </v>
      </c>
      <c r="X46" s="38">
        <f>Übernahme_Werte!H48*(1-(Übernahme_Werte!H$11+Übernahme_Werte!H$10))*(1-Übernahme_Werte!H$9)*(1-(Übernahme_Werte!H$6+Übernahme_Werte!H$8))</f>
        <v>1122.7272727272727</v>
      </c>
      <c r="Y46" s="21" t="str">
        <f>Übernahme_Werte!I48</f>
        <v xml:space="preserve"> </v>
      </c>
      <c r="Z46" s="38">
        <f>Übernahme_Werte!J48*(1-(Übernahme_Werte!J$11+Übernahme_Werte!J$10))*(1-Übernahme_Werte!J$9)*(1-(Übernahme_Werte!J$6+Übernahme_Werte!J$8))</f>
        <v>1122.7272727272727</v>
      </c>
      <c r="AA46" s="21" t="str">
        <f>Übernahme_Werte!K48</f>
        <v xml:space="preserve"> </v>
      </c>
      <c r="AB46" s="38">
        <f>Übernahme_Werte!L48*(1-(Übernahme_Werte!L$11+Übernahme_Werte!L$10))*(1-Übernahme_Werte!L$9)*(1-(Übernahme_Werte!L$6+Übernahme_Werte!L$8))</f>
        <v>1122.7272727272727</v>
      </c>
      <c r="AC46" s="21" t="str">
        <f>Übernahme_Werte!M48</f>
        <v xml:space="preserve"> </v>
      </c>
      <c r="AD46" s="38">
        <f>Übernahme_Werte!N48*(1-(Übernahme_Werte!N$11+Übernahme_Werte!N$10))*(1-Übernahme_Werte!N$9)*(1-(Übernahme_Werte!N$6+Übernahme_Werte!N$8))</f>
        <v>1122.7272727272727</v>
      </c>
      <c r="AE46" s="21" t="str">
        <f>Übernahme_Werte!O48</f>
        <v xml:space="preserve"> </v>
      </c>
      <c r="AF46" s="38">
        <f>Übernahme_Werte!P48*(1-(Übernahme_Werte!P$11+Übernahme_Werte!P$10))*(1-Übernahme_Werte!P$9)*(1-(Übernahme_Werte!P$6+Übernahme_Werte!P$8))</f>
        <v>1122.7272727272727</v>
      </c>
      <c r="AG46" s="47"/>
      <c r="AH46" s="47"/>
      <c r="AI46" s="55" t="str">
        <f>Übernahme_Werte!A48</f>
        <v>Zn</v>
      </c>
      <c r="AJ46" s="40" t="s">
        <v>20</v>
      </c>
      <c r="AK46" s="21" t="str">
        <f>Übernahme_Werte!E48</f>
        <v xml:space="preserve"> </v>
      </c>
      <c r="AL46" s="20">
        <f t="shared" si="0"/>
        <v>1130</v>
      </c>
      <c r="AM46" s="21" t="str">
        <f>Übernahme_Werte!G48</f>
        <v xml:space="preserve"> </v>
      </c>
      <c r="AN46" s="20">
        <f t="shared" si="1"/>
        <v>1120</v>
      </c>
      <c r="AO46" s="21" t="str">
        <f>Übernahme_Werte!I48</f>
        <v xml:space="preserve"> </v>
      </c>
      <c r="AP46" s="20">
        <f t="shared" si="2"/>
        <v>1120</v>
      </c>
      <c r="AQ46" s="21" t="str">
        <f>Übernahme_Werte!K48</f>
        <v xml:space="preserve"> </v>
      </c>
      <c r="AR46" s="20">
        <f t="shared" si="3"/>
        <v>1120</v>
      </c>
      <c r="AS46" s="21" t="str">
        <f>Übernahme_Werte!M48</f>
        <v xml:space="preserve"> </v>
      </c>
      <c r="AT46" s="20">
        <f t="shared" si="4"/>
        <v>1120</v>
      </c>
      <c r="AU46" s="21" t="str">
        <f>Übernahme_Werte!O48</f>
        <v xml:space="preserve"> </v>
      </c>
      <c r="AV46" s="20">
        <f t="shared" si="5"/>
        <v>1120</v>
      </c>
      <c r="AW46" s="54"/>
      <c r="AX46" s="53"/>
      <c r="AY46" s="81"/>
      <c r="AZ46" s="1">
        <f t="shared" si="6"/>
        <v>-1</v>
      </c>
      <c r="BB46" s="1">
        <f t="shared" si="7"/>
        <v>-1</v>
      </c>
      <c r="BD46" s="1">
        <f t="shared" si="8"/>
        <v>-1</v>
      </c>
      <c r="BF46" s="1">
        <f t="shared" si="9"/>
        <v>-1</v>
      </c>
      <c r="BH46" s="1">
        <f t="shared" si="10"/>
        <v>-1</v>
      </c>
      <c r="BJ46" s="1">
        <f t="shared" si="11"/>
        <v>-1</v>
      </c>
    </row>
    <row r="47" spans="18:62" x14ac:dyDescent="0.25">
      <c r="R47" s="40"/>
      <c r="T47" s="40"/>
      <c r="U47" s="40"/>
      <c r="V47" s="26"/>
      <c r="W47" s="26"/>
      <c r="X47" s="26"/>
      <c r="Y47" s="26"/>
      <c r="Z47" s="26"/>
      <c r="AA47" s="26"/>
      <c r="AB47" s="26"/>
      <c r="AC47" s="26"/>
      <c r="AD47" s="26"/>
      <c r="AE47" s="26"/>
      <c r="AF47" s="26"/>
      <c r="AG47" s="26"/>
      <c r="AH47" s="26"/>
      <c r="AI47" s="41"/>
      <c r="AJ47" s="40"/>
      <c r="AK47" s="40"/>
      <c r="AL47" s="9"/>
      <c r="AM47" s="9"/>
      <c r="AN47" s="9"/>
      <c r="AO47" s="9"/>
      <c r="AP47" s="9"/>
      <c r="AQ47" s="9"/>
      <c r="AR47" s="9"/>
      <c r="AS47" s="9"/>
      <c r="AT47" s="9"/>
      <c r="AU47" s="9"/>
      <c r="AV47" s="9"/>
      <c r="AW47" s="39"/>
      <c r="AX47" s="9"/>
      <c r="AY47" s="81"/>
    </row>
    <row r="48" spans="18:62" x14ac:dyDescent="0.25">
      <c r="R48" s="269" t="s">
        <v>38</v>
      </c>
      <c r="T48" s="9"/>
      <c r="U48" s="9"/>
      <c r="V48" s="26"/>
      <c r="W48" s="26"/>
      <c r="X48" s="26"/>
      <c r="Y48" s="26"/>
      <c r="Z48" s="26"/>
      <c r="AA48" s="26"/>
      <c r="AB48" s="26"/>
      <c r="AC48" s="26"/>
      <c r="AD48" s="26"/>
      <c r="AE48" s="26"/>
      <c r="AF48" s="26"/>
      <c r="AG48" s="26"/>
      <c r="AH48" s="26"/>
      <c r="AI48" s="283" t="s">
        <v>38</v>
      </c>
      <c r="AJ48" s="9"/>
      <c r="AK48" s="9"/>
      <c r="AL48" s="9"/>
      <c r="AM48" s="9"/>
      <c r="AN48" s="9"/>
      <c r="AO48" s="9"/>
      <c r="AP48" s="9"/>
      <c r="AQ48" s="9"/>
      <c r="AR48" s="9"/>
      <c r="AS48" s="9"/>
      <c r="AT48" s="9"/>
      <c r="AU48" s="9"/>
      <c r="AV48" s="9"/>
      <c r="AW48" s="39"/>
      <c r="AX48" s="9"/>
      <c r="AY48" s="81"/>
    </row>
    <row r="49" spans="18:62" x14ac:dyDescent="0.25">
      <c r="R49" s="266" t="s">
        <v>37</v>
      </c>
      <c r="T49" s="40" t="s">
        <v>36</v>
      </c>
      <c r="U49" s="40"/>
      <c r="V49" s="26" t="str">
        <f>Übernahme_Werte!F52</f>
        <v>n.b.</v>
      </c>
      <c r="W49" s="26"/>
      <c r="X49" s="26" t="str">
        <f>Übernahme_Werte!H52</f>
        <v>n.b.</v>
      </c>
      <c r="Y49" s="26"/>
      <c r="Z49" s="26" t="str">
        <f>Übernahme_Werte!J52</f>
        <v>n.b.</v>
      </c>
      <c r="AA49" s="26"/>
      <c r="AB49" s="26" t="str">
        <f>Übernahme_Werte!L52</f>
        <v>n.b.</v>
      </c>
      <c r="AC49" s="26"/>
      <c r="AD49" s="26" t="str">
        <f>Übernahme_Werte!N52</f>
        <v>n.b.</v>
      </c>
      <c r="AE49" s="26"/>
      <c r="AF49" s="26" t="str">
        <f>Übernahme_Werte!P52</f>
        <v>n.b.</v>
      </c>
      <c r="AG49" s="26"/>
      <c r="AH49" s="26"/>
      <c r="AI49" s="55" t="s">
        <v>37</v>
      </c>
      <c r="AJ49" s="40" t="s">
        <v>36</v>
      </c>
      <c r="AK49" s="40"/>
      <c r="AL49" s="20" t="str">
        <f>Übernahme_Werte!F52</f>
        <v>n.b.</v>
      </c>
      <c r="AM49" s="52"/>
      <c r="AN49" s="20" t="str">
        <f>[1]Messwerte_Analysenprobe!G59</f>
        <v>n.b.</v>
      </c>
      <c r="AO49" s="52"/>
      <c r="AP49" s="20" t="str">
        <f>[1]Messwerte_Analysenprobe!I59</f>
        <v>n.b.</v>
      </c>
      <c r="AQ49" s="52"/>
      <c r="AR49" s="20" t="str">
        <f>[1]Messwerte_Analysenprobe!K59</f>
        <v>n.b.</v>
      </c>
      <c r="AS49" s="52"/>
      <c r="AT49" s="20" t="str">
        <f>[1]Messwerte_Analysenprobe!M59</f>
        <v>n.b.</v>
      </c>
      <c r="AU49" s="7"/>
      <c r="AV49" s="20" t="str">
        <f>[1]Messwerte_Analysenprobe!O59</f>
        <v>n.b.</v>
      </c>
      <c r="AW49" s="50"/>
      <c r="AX49" s="7"/>
      <c r="AY49" s="81"/>
      <c r="AZ49" s="1">
        <f>IFERROR(IF(AK49="&lt;",IF(V49&lt;0.01,$BF$3,IF(V49&lt;0.1,$BD$3,$BB$3))-(1+INT(LOG10(ABS(V49)))),IF(V49&lt;0.01,$BF$2,IF(V49&lt;0.1,$BD$2,$BB$2))-(1+INT(LOG10(ABS(V49))))),7)</f>
        <v>7</v>
      </c>
      <c r="BB49" s="1">
        <f>IFERROR(IF(AM49="&lt;",IF(X49&lt;0.01,$BF$3,IF(X49&lt;0.1,$BD$3,$BB$3))-(1+INT(LOG10(ABS(X49)))),IF(X49&lt;0.01,$BF$2,IF(X49&lt;0.1,$BD$2,$BB$2))-(1+INT(LOG10(ABS(X49))))),7)</f>
        <v>7</v>
      </c>
      <c r="BD49" s="1">
        <f>IFERROR(IF(AO49="&lt;",IF(Z49&lt;0.01,$BF$3,IF(Z49&lt;0.1,$BD$3,$BB$3))-(1+INT(LOG10(ABS(Z49)))),IF(Z49&lt;0.01,$BF$2,IF(Z49&lt;0.1,$BD$2,$BB$2))-(1+INT(LOG10(ABS(Z49))))),7)</f>
        <v>7</v>
      </c>
      <c r="BF49" s="1">
        <f>IFERROR(IF(AQ49="&lt;",IF(AB49&lt;0.01,$BF$3,IF(AB49&lt;0.1,$BD$3,$BB$3))-(1+INT(LOG10(ABS(AB49)))),IF(AB49&lt;0.01,$BF$2,IF(AB49&lt;0.1,$BD$2,$BB$2))-(1+INT(LOG10(ABS(AB49))))),7)</f>
        <v>7</v>
      </c>
      <c r="BH49" s="1">
        <f>IFERROR(IF(AS49="&lt;",IF(AD49&lt;0.01,$BF$3,IF(AD49&lt;0.1,$BD$3,$BB$3))-(1+INT(LOG10(ABS(AD49)))),IF(AD49&lt;0.01,$BF$2,IF(AD49&lt;0.1,$BD$2,$BB$2))-(1+INT(LOG10(ABS(AD49))))),7)</f>
        <v>7</v>
      </c>
      <c r="BJ49" s="1">
        <f t="shared" ref="BJ49:BJ58" si="12">IFERROR(IF(AU49="&lt;",IF(AF49&lt;0.01,$BF$3,IF(AF49&lt;0.1,$BD$3,$BB$3))-(1+INT(LOG10(ABS(AF49)))),IF(AF49&lt;0.01,$BF$2,IF(AF49&lt;0.1,$BD$2,$BB$2))-(1+INT(LOG10(ABS(AF49))))),7)</f>
        <v>7</v>
      </c>
    </row>
    <row r="50" spans="18:62" x14ac:dyDescent="0.25">
      <c r="R50" s="265" t="s">
        <v>35</v>
      </c>
      <c r="T50" s="40" t="s">
        <v>34</v>
      </c>
      <c r="U50" s="40"/>
      <c r="V50" s="26" t="str">
        <f>Übernahme_Werte!F53</f>
        <v>n.b.</v>
      </c>
      <c r="W50" s="26"/>
      <c r="X50" s="26" t="str">
        <f>Übernahme_Werte!H53</f>
        <v>n.b.</v>
      </c>
      <c r="Y50" s="26"/>
      <c r="Z50" s="26" t="str">
        <f>Übernahme_Werte!J53</f>
        <v>n.b.</v>
      </c>
      <c r="AA50" s="26"/>
      <c r="AB50" s="26" t="str">
        <f>Übernahme_Werte!L53</f>
        <v>n.b.</v>
      </c>
      <c r="AC50" s="26"/>
      <c r="AD50" s="26" t="str">
        <f>Übernahme_Werte!N53</f>
        <v>n.b.</v>
      </c>
      <c r="AE50" s="26"/>
      <c r="AF50" s="26" t="str">
        <f>Übernahme_Werte!P53</f>
        <v>n.b.</v>
      </c>
      <c r="AG50" s="26"/>
      <c r="AH50" s="26"/>
      <c r="AI50" s="61" t="s">
        <v>35</v>
      </c>
      <c r="AJ50" s="40" t="s">
        <v>34</v>
      </c>
      <c r="AK50" s="40"/>
      <c r="AL50" s="20" t="str">
        <f>Übernahme_Werte!F52</f>
        <v>n.b.</v>
      </c>
      <c r="AM50" s="7"/>
      <c r="AN50" s="20" t="str">
        <f>[1]Messwerte_Analysenprobe!G60</f>
        <v>n.b.</v>
      </c>
      <c r="AO50" s="7"/>
      <c r="AP50" s="20" t="str">
        <f>[1]Messwerte_Analysenprobe!I60</f>
        <v>n.b.</v>
      </c>
      <c r="AQ50" s="7"/>
      <c r="AR50" s="20" t="str">
        <f>[1]Messwerte_Analysenprobe!K60</f>
        <v>n.b.</v>
      </c>
      <c r="AS50" s="7"/>
      <c r="AT50" s="20" t="str">
        <f>[1]Messwerte_Analysenprobe!M60</f>
        <v>n.b.</v>
      </c>
      <c r="AU50" s="7"/>
      <c r="AV50" s="20" t="str">
        <f>[1]Messwerte_Analysenprobe!O60</f>
        <v>n.b.</v>
      </c>
      <c r="AW50" s="39"/>
      <c r="AX50" s="9"/>
      <c r="AY50" s="81"/>
      <c r="AZ50" s="1">
        <f>IFERROR(IF(AK50="&lt;",IF(V50&lt;0.01,$BF$3,IF(V50&lt;0.1,$BD$3,$BB$3))-(1+INT(LOG10(ABS(V50)))),IF(V50&lt;0.01,$BF$2,IF(V50&lt;0.1,$BD$2,$BB$2))-(1+INT(LOG10(ABS(V50))))),7)</f>
        <v>7</v>
      </c>
      <c r="BB50" s="1">
        <f>IFERROR(IF(AM50="&lt;",IF(X50&lt;0.01,$BF$3,IF(X50&lt;0.1,$BD$3,$BB$3))-(1+INT(LOG10(ABS(X50)))),IF(X50&lt;0.01,$BF$2,IF(X50&lt;0.1,$BD$2,$BB$2))-(1+INT(LOG10(ABS(X50))))),7)</f>
        <v>7</v>
      </c>
      <c r="BD50" s="1">
        <f>IFERROR(IF(AO50="&lt;",IF(Z50&lt;0.01,$BF$3,IF(Z50&lt;0.1,$BD$3,$BB$3))-(1+INT(LOG10(ABS(Z50)))),IF(Z50&lt;0.01,$BF$2,IF(Z50&lt;0.1,$BD$2,$BB$2))-(1+INT(LOG10(ABS(Z50))))),7)</f>
        <v>7</v>
      </c>
      <c r="BF50" s="1">
        <f>IFERROR(IF(AQ50="&lt;",IF(AB50&lt;0.01,$BF$3,IF(AB50&lt;0.1,$BD$3,$BB$3))-(1+INT(LOG10(ABS(AB50)))),IF(AB50&lt;0.01,$BF$2,IF(AB50&lt;0.1,$BD$2,$BB$2))-(1+INT(LOG10(ABS(AB50))))),7)</f>
        <v>7</v>
      </c>
      <c r="BH50" s="1">
        <f>IFERROR(IF(AS50="&lt;",IF(AD50&lt;0.01,$BF$3,IF(AD50&lt;0.1,$BD$3,$BB$3))-(1+INT(LOG10(ABS(AD50)))),IF(AD50&lt;0.01,$BF$2,IF(AD50&lt;0.1,$BD$2,$BB$2))-(1+INT(LOG10(ABS(AD50))))),7)</f>
        <v>7</v>
      </c>
      <c r="BJ50" s="1">
        <f t="shared" si="12"/>
        <v>7</v>
      </c>
    </row>
    <row r="51" spans="18:62" x14ac:dyDescent="0.25">
      <c r="R51" t="s">
        <v>242</v>
      </c>
      <c r="AI51" s="2" t="s">
        <v>251</v>
      </c>
      <c r="AL51" s="20"/>
      <c r="AN51" s="20"/>
      <c r="AP51" s="20"/>
      <c r="AR51" s="20"/>
      <c r="AT51" s="20"/>
      <c r="AV51" s="20"/>
      <c r="AW51" s="44"/>
      <c r="AY51" s="81"/>
      <c r="BB51" s="1"/>
      <c r="BD51" s="1"/>
      <c r="BF51" s="1"/>
      <c r="BH51" s="1"/>
      <c r="BJ51" s="1">
        <f t="shared" si="12"/>
        <v>7</v>
      </c>
    </row>
    <row r="52" spans="18:62" x14ac:dyDescent="0.25">
      <c r="R52" s="266" t="str">
        <f>Übernahme_Werte!A56</f>
        <v>Cu</v>
      </c>
      <c r="T52" s="40" t="s">
        <v>25</v>
      </c>
      <c r="U52" s="40"/>
      <c r="V52" s="26">
        <f>Übernahme_Werte!F56</f>
        <v>1.4537636700000001</v>
      </c>
      <c r="W52" s="47"/>
      <c r="X52" s="26">
        <f>Übernahme_Werte!H56</f>
        <v>1</v>
      </c>
      <c r="Y52" s="47"/>
      <c r="Z52" s="26">
        <f>Übernahme_Werte!J56</f>
        <v>1</v>
      </c>
      <c r="AA52" s="47"/>
      <c r="AB52" s="26">
        <f>Übernahme_Werte!L56</f>
        <v>1</v>
      </c>
      <c r="AC52" s="47"/>
      <c r="AD52" s="26">
        <f>Übernahme_Werte!N56</f>
        <v>1.4537636700000001</v>
      </c>
      <c r="AE52" s="47"/>
      <c r="AF52" s="26">
        <f>Übernahme_Werte!P56</f>
        <v>1</v>
      </c>
      <c r="AG52" s="47"/>
      <c r="AH52" s="47"/>
      <c r="AI52" s="55" t="str">
        <f>Übernahme_Werte!A56</f>
        <v>Cu</v>
      </c>
      <c r="AJ52" s="40" t="str">
        <f>Übernahme_Werte!B56</f>
        <v>[mg/l]</v>
      </c>
      <c r="AK52" s="40"/>
      <c r="AL52" s="20">
        <f>V52</f>
        <v>1.4537636700000001</v>
      </c>
      <c r="AM52" s="7"/>
      <c r="AN52" s="20">
        <f>IFERROR(ROUND(X52,BB52),"Prüfen!")</f>
        <v>1</v>
      </c>
      <c r="AO52" s="7"/>
      <c r="AP52" s="20">
        <f>IFERROR(ROUND(Z52,BD52),"Prüfen!")</f>
        <v>1</v>
      </c>
      <c r="AQ52" s="7"/>
      <c r="AR52" s="20">
        <f>IFERROR(ROUND(AB52,BF52),"Prüfen!")</f>
        <v>1</v>
      </c>
      <c r="AS52" s="7"/>
      <c r="AT52" s="20">
        <f>IFERROR(ROUND(AD52,BH52),"Prüfen!")</f>
        <v>1.45</v>
      </c>
      <c r="AU52" s="8"/>
      <c r="AV52" s="20">
        <f>IFERROR(ROUND(AF52,BJ52),"Prüfen!")</f>
        <v>1</v>
      </c>
      <c r="AW52" s="50"/>
      <c r="AX52" s="7"/>
      <c r="AY52" s="81"/>
      <c r="AZ52" s="1">
        <f t="shared" ref="AZ52:AZ58" si="13">IFERROR(IF(AK52="&lt;",IF(V52&lt;0.01,$BF$3,IF(V52&lt;0.1,$BD$3,$BB$3))-(1+INT(LOG10(ABS(V52)))),IF(V52&lt;0.01,$BF$2,IF(V52&lt;0.1,$BD$2,$BB$2))-(1+INT(LOG10(ABS(V52))))),7)</f>
        <v>2</v>
      </c>
      <c r="BB52" s="1">
        <f t="shared" ref="BB52:BB58" si="14">IFERROR(IF(AM52="&lt;",IF(X52&lt;0.01,$BF$3,IF(X52&lt;0.1,$BD$3,$BB$3))-(1+INT(LOG10(ABS(X52)))),IF(X52&lt;0.01,$BF$2,IF(X52&lt;0.1,$BD$2,$BB$2))-(1+INT(LOG10(ABS(X52))))),7)</f>
        <v>2</v>
      </c>
      <c r="BD52" s="1">
        <f t="shared" ref="BD52:BD58" si="15">IFERROR(IF(AO52="&lt;",IF(Z52&lt;0.01,$BF$3,IF(Z52&lt;0.1,$BD$3,$BB$3))-(1+INT(LOG10(ABS(Z52)))),IF(Z52&lt;0.01,$BF$2,IF(Z52&lt;0.1,$BD$2,$BB$2))-(1+INT(LOG10(ABS(Z52))))),7)</f>
        <v>2</v>
      </c>
      <c r="BF52" s="1">
        <f t="shared" ref="BF52:BF58" si="16">IFERROR(IF(AQ52="&lt;",IF(AB52&lt;0.01,$BF$3,IF(AB52&lt;0.1,$BD$3,$BB$3))-(1+INT(LOG10(ABS(AB52)))),IF(AB52&lt;0.01,$BF$2,IF(AB52&lt;0.1,$BD$2,$BB$2))-(1+INT(LOG10(ABS(AB52))))),7)</f>
        <v>2</v>
      </c>
      <c r="BH52" s="1">
        <f t="shared" ref="BH52:BH58" si="17">IFERROR(IF(AS52="&lt;",IF(AD52&lt;0.01,$BF$3,IF(AD52&lt;0.1,$BD$3,$BB$3))-(1+INT(LOG10(ABS(AD52)))),IF(AD52&lt;0.01,$BF$2,IF(AD52&lt;0.1,$BD$2,$BB$2))-(1+INT(LOG10(ABS(AD52))))),7)</f>
        <v>2</v>
      </c>
      <c r="BJ52" s="1">
        <f t="shared" si="12"/>
        <v>2</v>
      </c>
    </row>
    <row r="53" spans="18:62" x14ac:dyDescent="0.25">
      <c r="R53" s="266" t="str">
        <f>Übernahme_Werte!A59</f>
        <v>Ni</v>
      </c>
      <c r="T53" s="40" t="s">
        <v>25</v>
      </c>
      <c r="U53" s="40"/>
      <c r="V53" s="26">
        <f>Übernahme_Werte!F59</f>
        <v>1</v>
      </c>
      <c r="W53" s="47"/>
      <c r="X53" s="26">
        <f>Übernahme_Werte!H59</f>
        <v>1.4537636700000001</v>
      </c>
      <c r="Y53" s="47"/>
      <c r="Z53" s="26">
        <f>Übernahme_Werte!J59</f>
        <v>1</v>
      </c>
      <c r="AA53" s="47"/>
      <c r="AB53" s="26">
        <f>Übernahme_Werte!L59</f>
        <v>1</v>
      </c>
      <c r="AC53" s="47"/>
      <c r="AD53" s="26">
        <f>Übernahme_Werte!N59</f>
        <v>1</v>
      </c>
      <c r="AE53" s="47"/>
      <c r="AF53" s="26">
        <f>Übernahme_Werte!P59</f>
        <v>1.4537636700000001</v>
      </c>
      <c r="AG53" s="47"/>
      <c r="AH53" s="47"/>
      <c r="AI53" s="55" t="str">
        <f>Übernahme_Werte!A59</f>
        <v>Ni</v>
      </c>
      <c r="AJ53" s="40" t="str">
        <f>Übernahme_Werte!B59</f>
        <v>[mg/l]</v>
      </c>
      <c r="AK53" s="40"/>
      <c r="AL53" s="20">
        <f t="shared" ref="AL53:AL58" si="18">V53</f>
        <v>1</v>
      </c>
      <c r="AM53" s="7"/>
      <c r="AN53" s="20">
        <f t="shared" ref="AN53:AV58" si="19">IFERROR(ROUND(X53,BB53),"Prüfen!")</f>
        <v>1.45</v>
      </c>
      <c r="AO53" s="7"/>
      <c r="AP53" s="20">
        <f t="shared" si="19"/>
        <v>1</v>
      </c>
      <c r="AQ53" s="7"/>
      <c r="AR53" s="20">
        <f t="shared" si="19"/>
        <v>1</v>
      </c>
      <c r="AS53" s="7"/>
      <c r="AT53" s="20">
        <f t="shared" si="19"/>
        <v>1</v>
      </c>
      <c r="AU53" s="8"/>
      <c r="AV53" s="20">
        <f t="shared" si="19"/>
        <v>1.45</v>
      </c>
      <c r="AW53" s="48"/>
      <c r="AX53" s="42"/>
      <c r="AY53" s="81"/>
      <c r="AZ53" s="1">
        <f t="shared" si="13"/>
        <v>2</v>
      </c>
      <c r="BB53" s="1">
        <f t="shared" si="14"/>
        <v>2</v>
      </c>
      <c r="BD53" s="1">
        <f t="shared" si="15"/>
        <v>2</v>
      </c>
      <c r="BF53" s="1">
        <f t="shared" si="16"/>
        <v>2</v>
      </c>
      <c r="BH53" s="1">
        <f t="shared" si="17"/>
        <v>2</v>
      </c>
      <c r="BJ53" s="1">
        <f t="shared" si="12"/>
        <v>2</v>
      </c>
    </row>
    <row r="54" spans="18:62" x14ac:dyDescent="0.25">
      <c r="R54" s="266" t="str">
        <f>Übernahme_Werte!A60</f>
        <v>Pb</v>
      </c>
      <c r="T54" s="40" t="s">
        <v>25</v>
      </c>
      <c r="U54" s="40"/>
      <c r="V54" s="26">
        <f>Übernahme_Werte!F60</f>
        <v>1</v>
      </c>
      <c r="W54" s="47"/>
      <c r="X54" s="26">
        <f>Übernahme_Werte!H60</f>
        <v>1</v>
      </c>
      <c r="Y54" s="47"/>
      <c r="Z54" s="26">
        <f>Übernahme_Werte!J60</f>
        <v>1.4537636700000001</v>
      </c>
      <c r="AA54" s="47"/>
      <c r="AB54" s="26">
        <f>Übernahme_Werte!L60</f>
        <v>1</v>
      </c>
      <c r="AC54" s="47"/>
      <c r="AD54" s="26">
        <f>Übernahme_Werte!N60</f>
        <v>1</v>
      </c>
      <c r="AE54" s="47"/>
      <c r="AF54" s="26">
        <f>Übernahme_Werte!P60</f>
        <v>1</v>
      </c>
      <c r="AG54" s="47"/>
      <c r="AH54" s="47"/>
      <c r="AI54" s="55" t="str">
        <f>Übernahme_Werte!A60</f>
        <v>Pb</v>
      </c>
      <c r="AJ54" s="40" t="str">
        <f>Übernahme_Werte!B60</f>
        <v>[mg/l]</v>
      </c>
      <c r="AK54" s="40"/>
      <c r="AL54" s="20">
        <f t="shared" si="18"/>
        <v>1</v>
      </c>
      <c r="AM54" s="7"/>
      <c r="AN54" s="20">
        <f t="shared" si="19"/>
        <v>1</v>
      </c>
      <c r="AO54" s="7"/>
      <c r="AP54" s="20">
        <f t="shared" si="19"/>
        <v>1.45</v>
      </c>
      <c r="AQ54" s="7"/>
      <c r="AR54" s="20">
        <f t="shared" si="19"/>
        <v>1</v>
      </c>
      <c r="AS54" s="7"/>
      <c r="AT54" s="20">
        <f t="shared" si="19"/>
        <v>1</v>
      </c>
      <c r="AU54" s="8"/>
      <c r="AV54" s="20">
        <f t="shared" si="19"/>
        <v>1</v>
      </c>
      <c r="AW54" s="46"/>
      <c r="AX54" s="45"/>
      <c r="AY54" s="81"/>
      <c r="AZ54" s="1">
        <f t="shared" si="13"/>
        <v>2</v>
      </c>
      <c r="BB54" s="1">
        <f t="shared" si="14"/>
        <v>2</v>
      </c>
      <c r="BD54" s="1">
        <f t="shared" si="15"/>
        <v>2</v>
      </c>
      <c r="BF54" s="1">
        <f t="shared" si="16"/>
        <v>2</v>
      </c>
      <c r="BH54" s="1">
        <f t="shared" si="17"/>
        <v>2</v>
      </c>
      <c r="BJ54" s="1">
        <f t="shared" si="12"/>
        <v>2</v>
      </c>
    </row>
    <row r="55" spans="18:62" x14ac:dyDescent="0.25">
      <c r="R55" s="266" t="str">
        <f>Übernahme_Werte!A61</f>
        <v>Zn</v>
      </c>
      <c r="T55" s="40" t="s">
        <v>25</v>
      </c>
      <c r="U55" s="40"/>
      <c r="V55" s="26">
        <f>Übernahme_Werte!F61</f>
        <v>1</v>
      </c>
      <c r="W55" s="47"/>
      <c r="X55" s="26">
        <f>Übernahme_Werte!H61</f>
        <v>1</v>
      </c>
      <c r="Y55" s="47"/>
      <c r="Z55" s="26">
        <f>Übernahme_Werte!J61</f>
        <v>1</v>
      </c>
      <c r="AA55" s="47"/>
      <c r="AB55" s="26">
        <f>Übernahme_Werte!L61</f>
        <v>1.4537636700000001</v>
      </c>
      <c r="AC55" s="47"/>
      <c r="AD55" s="26">
        <f>Übernahme_Werte!N61</f>
        <v>1</v>
      </c>
      <c r="AE55" s="47"/>
      <c r="AF55" s="26">
        <f>Übernahme_Werte!P61</f>
        <v>1</v>
      </c>
      <c r="AG55" s="47"/>
      <c r="AH55" s="47"/>
      <c r="AI55" s="55" t="str">
        <f>Übernahme_Werte!A61</f>
        <v>Zn</v>
      </c>
      <c r="AJ55" s="40" t="str">
        <f>Übernahme_Werte!B61</f>
        <v>[mg/l]</v>
      </c>
      <c r="AK55" s="40"/>
      <c r="AL55" s="20">
        <f t="shared" si="18"/>
        <v>1</v>
      </c>
      <c r="AM55" s="7"/>
      <c r="AN55" s="20">
        <f t="shared" si="19"/>
        <v>1</v>
      </c>
      <c r="AO55" s="7"/>
      <c r="AP55" s="20">
        <f t="shared" si="19"/>
        <v>1</v>
      </c>
      <c r="AQ55" s="7"/>
      <c r="AR55" s="20">
        <f t="shared" si="19"/>
        <v>1.45</v>
      </c>
      <c r="AS55" s="7"/>
      <c r="AT55" s="20">
        <f t="shared" si="19"/>
        <v>1</v>
      </c>
      <c r="AU55" s="8"/>
      <c r="AV55" s="20">
        <f t="shared" si="19"/>
        <v>1</v>
      </c>
      <c r="AW55" s="46"/>
      <c r="AX55" s="45"/>
      <c r="AY55" s="81"/>
      <c r="AZ55" s="1">
        <f t="shared" si="13"/>
        <v>2</v>
      </c>
      <c r="BB55" s="1">
        <f t="shared" si="14"/>
        <v>2</v>
      </c>
      <c r="BD55" s="1">
        <f t="shared" si="15"/>
        <v>2</v>
      </c>
      <c r="BF55" s="1">
        <f t="shared" si="16"/>
        <v>2</v>
      </c>
      <c r="BH55" s="1">
        <f t="shared" si="17"/>
        <v>2</v>
      </c>
      <c r="BJ55" s="1">
        <f t="shared" si="12"/>
        <v>2</v>
      </c>
    </row>
    <row r="56" spans="18:62" ht="16.5" customHeight="1" x14ac:dyDescent="0.25">
      <c r="R56" s="266" t="str">
        <f>Übernahme_Werte!A55</f>
        <v>Ca</v>
      </c>
      <c r="T56" s="40" t="s">
        <v>25</v>
      </c>
      <c r="U56" s="40"/>
      <c r="V56" s="26">
        <f>Übernahme_Werte!F55</f>
        <v>20</v>
      </c>
      <c r="W56" s="47"/>
      <c r="X56" s="26">
        <f>Übernahme_Werte!H55</f>
        <v>20</v>
      </c>
      <c r="Y56" s="47"/>
      <c r="Z56" s="26">
        <f>Übernahme_Werte!J55</f>
        <v>20</v>
      </c>
      <c r="AA56" s="47"/>
      <c r="AB56" s="26">
        <f>Übernahme_Werte!L55</f>
        <v>20</v>
      </c>
      <c r="AC56" s="47"/>
      <c r="AD56" s="26">
        <f>Übernahme_Werte!N55</f>
        <v>20</v>
      </c>
      <c r="AE56" s="47"/>
      <c r="AF56" s="26">
        <f>Übernahme_Werte!P55</f>
        <v>100</v>
      </c>
      <c r="AG56" s="47"/>
      <c r="AH56" s="47"/>
      <c r="AI56" s="55" t="str">
        <f>Übernahme_Werte!A55</f>
        <v>Ca</v>
      </c>
      <c r="AJ56" s="40" t="str">
        <f>Übernahme_Werte!B55</f>
        <v>[mg/l]</v>
      </c>
      <c r="AK56" s="40"/>
      <c r="AL56" s="20">
        <f t="shared" si="18"/>
        <v>20</v>
      </c>
      <c r="AM56" s="7"/>
      <c r="AN56" s="20">
        <f t="shared" si="19"/>
        <v>20</v>
      </c>
      <c r="AO56" s="7"/>
      <c r="AP56" s="20">
        <f t="shared" si="19"/>
        <v>20</v>
      </c>
      <c r="AQ56" s="7"/>
      <c r="AR56" s="20">
        <f t="shared" si="19"/>
        <v>20</v>
      </c>
      <c r="AS56" s="7"/>
      <c r="AT56" s="20">
        <f t="shared" si="19"/>
        <v>20</v>
      </c>
      <c r="AU56" s="8"/>
      <c r="AV56" s="20">
        <f t="shared" si="19"/>
        <v>100</v>
      </c>
      <c r="AW56" s="46"/>
      <c r="AX56" s="45"/>
      <c r="AY56" s="81"/>
      <c r="AZ56" s="1">
        <f t="shared" si="13"/>
        <v>1</v>
      </c>
      <c r="BB56" s="1">
        <f t="shared" si="14"/>
        <v>1</v>
      </c>
      <c r="BD56" s="1">
        <f t="shared" si="15"/>
        <v>1</v>
      </c>
      <c r="BF56" s="1">
        <f t="shared" si="16"/>
        <v>1</v>
      </c>
      <c r="BH56" s="1">
        <f t="shared" si="17"/>
        <v>1</v>
      </c>
      <c r="BJ56" s="1">
        <f t="shared" si="12"/>
        <v>0</v>
      </c>
    </row>
    <row r="57" spans="18:62" x14ac:dyDescent="0.25">
      <c r="R57" s="266" t="str">
        <f>Übernahme_Werte!A57</f>
        <v>K</v>
      </c>
      <c r="T57" s="40" t="s">
        <v>25</v>
      </c>
      <c r="U57" s="40"/>
      <c r="V57" s="26">
        <f>Übernahme_Werte!F57</f>
        <v>20</v>
      </c>
      <c r="W57" s="47"/>
      <c r="X57" s="26">
        <f>Übernahme_Werte!H57</f>
        <v>20</v>
      </c>
      <c r="Y57" s="47"/>
      <c r="Z57" s="26">
        <f>Übernahme_Werte!J57</f>
        <v>20</v>
      </c>
      <c r="AA57" s="47"/>
      <c r="AB57" s="26">
        <f>Übernahme_Werte!L57</f>
        <v>20</v>
      </c>
      <c r="AC57" s="47"/>
      <c r="AD57" s="26">
        <f>Übernahme_Werte!N57</f>
        <v>20</v>
      </c>
      <c r="AE57" s="47"/>
      <c r="AF57" s="26">
        <f>Übernahme_Werte!P57</f>
        <v>100</v>
      </c>
      <c r="AG57" s="47"/>
      <c r="AH57" s="47"/>
      <c r="AI57" s="55" t="str">
        <f>Übernahme_Werte!A57</f>
        <v>K</v>
      </c>
      <c r="AJ57" s="40" t="str">
        <f>Übernahme_Werte!B57</f>
        <v>[mg/l]</v>
      </c>
      <c r="AK57" s="40"/>
      <c r="AL57" s="20">
        <f t="shared" si="18"/>
        <v>20</v>
      </c>
      <c r="AM57" s="7"/>
      <c r="AN57" s="20">
        <f t="shared" si="19"/>
        <v>20</v>
      </c>
      <c r="AO57" s="7"/>
      <c r="AP57" s="20">
        <f t="shared" si="19"/>
        <v>20</v>
      </c>
      <c r="AQ57" s="7"/>
      <c r="AR57" s="20">
        <f t="shared" si="19"/>
        <v>20</v>
      </c>
      <c r="AS57" s="7"/>
      <c r="AT57" s="20">
        <f t="shared" si="19"/>
        <v>20</v>
      </c>
      <c r="AU57" s="8"/>
      <c r="AV57" s="20">
        <f t="shared" si="19"/>
        <v>100</v>
      </c>
      <c r="AW57" s="48"/>
      <c r="AX57" s="42"/>
      <c r="AY57" s="81"/>
      <c r="AZ57" s="1">
        <f t="shared" si="13"/>
        <v>1</v>
      </c>
      <c r="BB57" s="1">
        <f t="shared" si="14"/>
        <v>1</v>
      </c>
      <c r="BD57" s="1">
        <f t="shared" si="15"/>
        <v>1</v>
      </c>
      <c r="BF57" s="1">
        <f t="shared" si="16"/>
        <v>1</v>
      </c>
      <c r="BH57" s="1">
        <f t="shared" si="17"/>
        <v>1</v>
      </c>
      <c r="BJ57" s="1">
        <f t="shared" si="12"/>
        <v>0</v>
      </c>
    </row>
    <row r="58" spans="18:62" x14ac:dyDescent="0.25">
      <c r="R58" s="266" t="str">
        <f>Übernahme_Werte!A58</f>
        <v>Na</v>
      </c>
      <c r="T58" s="40" t="s">
        <v>25</v>
      </c>
      <c r="U58" s="40"/>
      <c r="V58" s="26">
        <f>Übernahme_Werte!F58</f>
        <v>20</v>
      </c>
      <c r="W58" s="47"/>
      <c r="X58" s="26">
        <f>Übernahme_Werte!H58</f>
        <v>20</v>
      </c>
      <c r="Y58" s="47"/>
      <c r="Z58" s="26">
        <f>Übernahme_Werte!J58</f>
        <v>20</v>
      </c>
      <c r="AA58" s="47"/>
      <c r="AB58" s="26">
        <f>Übernahme_Werte!L58</f>
        <v>20</v>
      </c>
      <c r="AC58" s="47"/>
      <c r="AD58" s="26">
        <f>Übernahme_Werte!N58</f>
        <v>20</v>
      </c>
      <c r="AE58" s="47"/>
      <c r="AF58" s="26">
        <f>Übernahme_Werte!P58</f>
        <v>100</v>
      </c>
      <c r="AG58" s="47"/>
      <c r="AH58" s="47"/>
      <c r="AI58" s="55" t="str">
        <f>Übernahme_Werte!A58</f>
        <v>Na</v>
      </c>
      <c r="AJ58" s="40" t="str">
        <f>Übernahme_Werte!B58</f>
        <v>[mg/l]</v>
      </c>
      <c r="AK58" s="40"/>
      <c r="AL58" s="20">
        <f t="shared" si="18"/>
        <v>20</v>
      </c>
      <c r="AM58" s="9"/>
      <c r="AN58" s="20">
        <f t="shared" si="19"/>
        <v>20</v>
      </c>
      <c r="AO58" s="9"/>
      <c r="AP58" s="20">
        <f t="shared" si="19"/>
        <v>20</v>
      </c>
      <c r="AQ58" s="9"/>
      <c r="AR58" s="20">
        <f t="shared" si="19"/>
        <v>20</v>
      </c>
      <c r="AS58" s="9"/>
      <c r="AT58" s="20">
        <f t="shared" si="19"/>
        <v>20</v>
      </c>
      <c r="AU58" s="8"/>
      <c r="AV58" s="20">
        <f t="shared" si="19"/>
        <v>100</v>
      </c>
      <c r="AW58" s="46"/>
      <c r="AX58" s="45"/>
      <c r="AY58" s="81"/>
      <c r="AZ58" s="1">
        <f t="shared" si="13"/>
        <v>1</v>
      </c>
      <c r="BB58" s="1">
        <f t="shared" si="14"/>
        <v>1</v>
      </c>
      <c r="BD58" s="1">
        <f t="shared" si="15"/>
        <v>1</v>
      </c>
      <c r="BF58" s="1">
        <f t="shared" si="16"/>
        <v>1</v>
      </c>
      <c r="BH58" s="1">
        <f t="shared" si="17"/>
        <v>1</v>
      </c>
      <c r="BJ58" s="1">
        <f t="shared" si="12"/>
        <v>0</v>
      </c>
    </row>
    <row r="59" spans="18:62" x14ac:dyDescent="0.25">
      <c r="R59" s="4"/>
      <c r="T59" s="40"/>
      <c r="U59" s="40"/>
      <c r="V59" s="26"/>
      <c r="W59" s="26"/>
      <c r="X59" s="26"/>
      <c r="Y59" s="26"/>
      <c r="Z59" s="26"/>
      <c r="AA59" s="26"/>
      <c r="AB59" s="26"/>
      <c r="AC59" s="26"/>
      <c r="AD59" s="26"/>
      <c r="AE59" s="26"/>
      <c r="AF59" s="26"/>
      <c r="AG59" s="26"/>
      <c r="AH59" s="26"/>
      <c r="AI59" s="11"/>
      <c r="AJ59" s="4"/>
      <c r="AK59" s="4"/>
      <c r="AL59" s="4"/>
      <c r="AM59" s="4"/>
      <c r="AN59" s="4"/>
      <c r="AO59" s="4"/>
      <c r="AP59" s="4"/>
      <c r="AQ59" s="4"/>
      <c r="AR59" s="4"/>
      <c r="AS59" s="4"/>
      <c r="AT59" s="4"/>
      <c r="AU59" s="4"/>
      <c r="AV59" s="4"/>
      <c r="AW59" s="49"/>
      <c r="AX59" s="4"/>
      <c r="AY59" s="81"/>
    </row>
    <row r="60" spans="18:62" x14ac:dyDescent="0.25">
      <c r="R60" s="71" t="s">
        <v>243</v>
      </c>
      <c r="AI60" s="71" t="s">
        <v>243</v>
      </c>
      <c r="AW60" s="44"/>
      <c r="AY60" s="81"/>
    </row>
    <row r="61" spans="18:62" x14ac:dyDescent="0.25">
      <c r="R61" s="266" t="str">
        <f>Übernahme_Werte!A66</f>
        <v>Cu_goL &lt; 1 mm</v>
      </c>
      <c r="T61" s="40" t="s">
        <v>20</v>
      </c>
      <c r="U61" s="40"/>
      <c r="V61" s="26">
        <f>Übernahme_Werte!F66*Übernahme_Werte!F$11</f>
        <v>40</v>
      </c>
      <c r="W61" s="26"/>
      <c r="X61" s="26">
        <f>Übernahme_Werte!H66*Übernahme_Werte!H$11</f>
        <v>520</v>
      </c>
      <c r="Y61" s="26"/>
      <c r="Z61" s="26">
        <f>Übernahme_Werte!J66*Übernahme_Werte!J$11</f>
        <v>520</v>
      </c>
      <c r="AA61" s="26"/>
      <c r="AB61" s="26">
        <f>Übernahme_Werte!L66*Übernahme_Werte!L$11</f>
        <v>520</v>
      </c>
      <c r="AC61" s="26"/>
      <c r="AD61" s="26">
        <f>Übernahme_Werte!N66*Übernahme_Werte!N$11</f>
        <v>520</v>
      </c>
      <c r="AE61" s="26"/>
      <c r="AF61" s="26">
        <f>Übernahme_Werte!P66*Übernahme_Werte!P$11</f>
        <v>520</v>
      </c>
      <c r="AG61" s="26"/>
      <c r="AH61" s="26"/>
      <c r="AI61" s="41" t="str">
        <f>Übernahme_Werte!A66</f>
        <v>Cu_goL &lt; 1 mm</v>
      </c>
      <c r="AJ61" s="40" t="s">
        <v>20</v>
      </c>
      <c r="AK61" s="21" t="str">
        <f>Übernahme_Werte!E66</f>
        <v xml:space="preserve"> </v>
      </c>
      <c r="AL61" s="20">
        <f>IFERROR(ROUND(V61,AZ61),"Prüfen!")</f>
        <v>40</v>
      </c>
      <c r="AM61" s="21" t="str">
        <f>Übernahme_Werte!G66</f>
        <v xml:space="preserve"> </v>
      </c>
      <c r="AN61" s="20">
        <f>IFERROR(ROUND(X61,BB61),"Prüfen!")</f>
        <v>520</v>
      </c>
      <c r="AO61" s="21" t="str">
        <f>Übernahme_Werte!I66</f>
        <v xml:space="preserve"> </v>
      </c>
      <c r="AP61" s="20">
        <f>IFERROR(ROUND(Z61,BD61),"Prüfen!")</f>
        <v>520</v>
      </c>
      <c r="AQ61" s="21" t="str">
        <f>Übernahme_Werte!K66</f>
        <v xml:space="preserve"> </v>
      </c>
      <c r="AR61" s="20">
        <f>IFERROR(ROUND(AB61,BF61),"Prüfen!")</f>
        <v>520</v>
      </c>
      <c r="AS61" s="21" t="str">
        <f>Übernahme_Werte!M66</f>
        <v xml:space="preserve"> </v>
      </c>
      <c r="AT61" s="20">
        <f>IFERROR(ROUND(AD61,BH61),"Prüfen!")</f>
        <v>520</v>
      </c>
      <c r="AU61" s="21" t="str">
        <f>Übernahme_Werte!O66</f>
        <v xml:space="preserve"> </v>
      </c>
      <c r="AV61" s="20">
        <f>IFERROR(ROUND(AF61,BJ61),"Prüfen!")</f>
        <v>520</v>
      </c>
      <c r="AW61" s="39"/>
      <c r="AX61" s="9"/>
      <c r="AY61" s="81"/>
      <c r="AZ61" s="1">
        <f>IFERROR(IF(AK61="&lt;",IF(V61&lt;0.01,$BF$3,IF(V61&lt;0.1,$BD$3,$BB$3))-(1+INT(LOG10(ABS(V61)))),IF(V61&lt;0.01,$BF$2,IF(V61&lt;0.1,$BD$2,$BB$2))-(1+INT(LOG10(ABS(V61))))),7)</f>
        <v>1</v>
      </c>
      <c r="BB61" s="1">
        <f>IFERROR(IF(AM61="&lt;",IF(X61&lt;0.01,$BF$3,IF(X61&lt;0.1,$BD$3,$BB$3))-(1+INT(LOG10(ABS(X61)))),IF(X61&lt;0.01,$BF$2,IF(X61&lt;0.1,$BD$2,$BB$2))-(1+INT(LOG10(ABS(X61))))),7)</f>
        <v>0</v>
      </c>
      <c r="BD61" s="1">
        <f>IFERROR(IF(AO61="&lt;",IF(Z61&lt;0.01,$BF$3,IF(Z61&lt;0.1,$BD$3,$BB$3))-(1+INT(LOG10(ABS(Z61)))),IF(Z61&lt;0.01,$BF$2,IF(Z61&lt;0.1,$BD$2,$BB$2))-(1+INT(LOG10(ABS(Z61))))),7)</f>
        <v>0</v>
      </c>
      <c r="BF61" s="1">
        <f>IFERROR(IF(AQ61="&lt;",IF(AB61&lt;0.01,$BF$3,IF(AB61&lt;0.1,$BD$3,$BB$3))-(1+INT(LOG10(ABS(AB61)))),IF(AB61&lt;0.01,$BF$2,IF(AB61&lt;0.1,$BD$2,$BB$2))-(1+INT(LOG10(ABS(AB61))))),7)</f>
        <v>0</v>
      </c>
      <c r="BH61" s="1">
        <f>IFERROR(IF(AS61="&lt;",IF(AD61&lt;0.01,$BF$3,IF(AD61&lt;0.1,$BD$3,$BB$3))-(1+INT(LOG10(ABS(AD61)))),IF(AD61&lt;0.01,$BF$2,IF(AD61&lt;0.1,$BD$2,$BB$2))-(1+INT(LOG10(ABS(AD61))))),7)</f>
        <v>0</v>
      </c>
      <c r="BJ61" s="1">
        <f>IFERROR(IF(AU61="&lt;",IF(AF61&lt;0.01,$BF$3,IF(AF61&lt;0.1,$BD$3,$BB$3))-(1+INT(LOG10(ABS(AF61)))),IF(AF61&lt;0.01,$BF$2,IF(AF61&lt;0.1,$BD$2,$BB$2))-(1+INT(LOG10(ABS(AF61))))),7)</f>
        <v>0</v>
      </c>
    </row>
    <row r="62" spans="18:62" x14ac:dyDescent="0.25">
      <c r="R62" s="266" t="str">
        <f>Übernahme_Werte!A68</f>
        <v>Ni_goL &lt; 1 mm</v>
      </c>
      <c r="T62" s="40" t="s">
        <v>20</v>
      </c>
      <c r="U62" s="40"/>
      <c r="V62" s="26">
        <f>Übernahme_Werte!F68*Übernahme_Werte!F$11</f>
        <v>60</v>
      </c>
      <c r="W62" s="26"/>
      <c r="X62" s="26">
        <f>Übernahme_Werte!H68*Übernahme_Werte!H$11</f>
        <v>600</v>
      </c>
      <c r="Y62" s="26"/>
      <c r="Z62" s="26">
        <f>Übernahme_Werte!J68*Übernahme_Werte!J$11</f>
        <v>600</v>
      </c>
      <c r="AA62" s="26"/>
      <c r="AB62" s="26">
        <f>Übernahme_Werte!L68*Übernahme_Werte!L$11</f>
        <v>600</v>
      </c>
      <c r="AC62" s="26"/>
      <c r="AD62" s="26">
        <f>Übernahme_Werte!N68*Übernahme_Werte!N$11</f>
        <v>600</v>
      </c>
      <c r="AE62" s="26"/>
      <c r="AF62" s="26">
        <f>Übernahme_Werte!P68*Übernahme_Werte!P$11</f>
        <v>600</v>
      </c>
      <c r="AG62" s="26"/>
      <c r="AH62" s="26"/>
      <c r="AI62" s="41" t="str">
        <f>Übernahme_Werte!A68</f>
        <v>Ni_goL &lt; 1 mm</v>
      </c>
      <c r="AJ62" s="40" t="s">
        <v>20</v>
      </c>
      <c r="AK62" s="21" t="str">
        <f>Übernahme_Werte!E68</f>
        <v xml:space="preserve"> </v>
      </c>
      <c r="AL62" s="20">
        <f>IFERROR(ROUND(V62,AZ62),"Prüfen!")</f>
        <v>60</v>
      </c>
      <c r="AM62" s="21" t="str">
        <f>Übernahme_Werte!G68</f>
        <v xml:space="preserve"> </v>
      </c>
      <c r="AN62" s="20">
        <f>IFERROR(ROUND(X62,BB62),"Prüfen!")</f>
        <v>600</v>
      </c>
      <c r="AO62" s="21" t="str">
        <f>Übernahme_Werte!I68</f>
        <v xml:space="preserve"> </v>
      </c>
      <c r="AP62" s="20">
        <f>IFERROR(ROUND(Z62,BD62),"Prüfen!")</f>
        <v>600</v>
      </c>
      <c r="AQ62" s="21" t="str">
        <f>Übernahme_Werte!K68</f>
        <v xml:space="preserve"> </v>
      </c>
      <c r="AR62" s="20">
        <f>IFERROR(ROUND(AB62,BF62),"Prüfen!")</f>
        <v>600</v>
      </c>
      <c r="AS62" s="21" t="str">
        <f>Übernahme_Werte!M68</f>
        <v xml:space="preserve"> </v>
      </c>
      <c r="AT62" s="20">
        <f>IFERROR(ROUND(AD62,BH62),"Prüfen!")</f>
        <v>600</v>
      </c>
      <c r="AU62" s="21" t="str">
        <f>Übernahme_Werte!O68</f>
        <v xml:space="preserve"> </v>
      </c>
      <c r="AV62" s="20">
        <f>IFERROR(ROUND(AF62,BJ62),"Prüfen!")</f>
        <v>600</v>
      </c>
      <c r="AW62" s="39"/>
      <c r="AX62" s="9"/>
      <c r="AY62" s="81"/>
      <c r="AZ62" s="1">
        <f>IFERROR(IF(AK62="&lt;",IF(V62&lt;0.01,$BF$3,IF(V62&lt;0.1,$BD$3,$BB$3))-(1+INT(LOG10(ABS(V62)))),IF(V62&lt;0.01,$BF$2,IF(V62&lt;0.1,$BD$2,$BB$2))-(1+INT(LOG10(ABS(V62))))),7)</f>
        <v>1</v>
      </c>
      <c r="BB62" s="1">
        <f>IFERROR(IF(AM62="&lt;",IF(X62&lt;0.01,$BF$3,IF(X62&lt;0.1,$BD$3,$BB$3))-(1+INT(LOG10(ABS(X62)))),IF(X62&lt;0.01,$BF$2,IF(X62&lt;0.1,$BD$2,$BB$2))-(1+INT(LOG10(ABS(X62))))),7)</f>
        <v>0</v>
      </c>
      <c r="BD62" s="1">
        <f>IFERROR(IF(AO62="&lt;",IF(Z62&lt;0.01,$BF$3,IF(Z62&lt;0.1,$BD$3,$BB$3))-(1+INT(LOG10(ABS(Z62)))),IF(Z62&lt;0.01,$BF$2,IF(Z62&lt;0.1,$BD$2,$BB$2))-(1+INT(LOG10(ABS(Z62))))),7)</f>
        <v>0</v>
      </c>
      <c r="BF62" s="1">
        <f>IFERROR(IF(AQ62="&lt;",IF(AB62&lt;0.01,$BF$3,IF(AB62&lt;0.1,$BD$3,$BB$3))-(1+INT(LOG10(ABS(AB62)))),IF(AB62&lt;0.01,$BF$2,IF(AB62&lt;0.1,$BD$2,$BB$2))-(1+INT(LOG10(ABS(AB62))))),7)</f>
        <v>0</v>
      </c>
      <c r="BH62" s="1">
        <f>IFERROR(IF(AS62="&lt;",IF(AD62&lt;0.01,$BF$3,IF(AD62&lt;0.1,$BD$3,$BB$3))-(1+INT(LOG10(ABS(AD62)))),IF(AD62&lt;0.01,$BF$2,IF(AD62&lt;0.1,$BD$2,$BB$2))-(1+INT(LOG10(ABS(AD62))))),7)</f>
        <v>0</v>
      </c>
      <c r="BJ62" s="1">
        <f>IFERROR(IF(AU62="&lt;",IF(AF62&lt;0.01,$BF$3,IF(AF62&lt;0.1,$BD$3,$BB$3))-(1+INT(LOG10(ABS(AF62)))),IF(AF62&lt;0.01,$BF$2,IF(AF62&lt;0.1,$BD$2,$BB$2))-(1+INT(LOG10(ABS(AF62))))),7)</f>
        <v>0</v>
      </c>
    </row>
    <row r="63" spans="18:62" x14ac:dyDescent="0.25">
      <c r="R63" s="266" t="str">
        <f>Übernahme_Werte!A69</f>
        <v>Pb_goL &lt; 1 mm</v>
      </c>
      <c r="T63" s="40" t="s">
        <v>20</v>
      </c>
      <c r="U63" s="40"/>
      <c r="V63" s="26">
        <f>Übernahme_Werte!F69*Übernahme_Werte!F$11</f>
        <v>70</v>
      </c>
      <c r="W63" s="26"/>
      <c r="X63" s="26">
        <f>Übernahme_Werte!H69*Übernahme_Werte!H$11</f>
        <v>640</v>
      </c>
      <c r="Y63" s="26"/>
      <c r="Z63" s="26">
        <f>Übernahme_Werte!J69*Übernahme_Werte!J$11</f>
        <v>640</v>
      </c>
      <c r="AA63" s="26"/>
      <c r="AB63" s="26">
        <f>Übernahme_Werte!L69*Übernahme_Werte!L$11</f>
        <v>640</v>
      </c>
      <c r="AC63" s="26"/>
      <c r="AD63" s="26">
        <f>Übernahme_Werte!N69*Übernahme_Werte!N$11</f>
        <v>640</v>
      </c>
      <c r="AE63" s="26"/>
      <c r="AF63" s="26">
        <f>Übernahme_Werte!P69*Übernahme_Werte!P$11</f>
        <v>640</v>
      </c>
      <c r="AG63" s="26"/>
      <c r="AH63" s="26"/>
      <c r="AI63" s="41" t="str">
        <f>Übernahme_Werte!A69</f>
        <v>Pb_goL &lt; 1 mm</v>
      </c>
      <c r="AJ63" s="40" t="s">
        <v>20</v>
      </c>
      <c r="AK63" s="21" t="str">
        <f>Übernahme_Werte!E69</f>
        <v xml:space="preserve"> </v>
      </c>
      <c r="AL63" s="20">
        <f>IFERROR(ROUND(V63,AZ63),"Prüfen!")</f>
        <v>70</v>
      </c>
      <c r="AM63" s="21" t="str">
        <f>Übernahme_Werte!G69</f>
        <v xml:space="preserve"> </v>
      </c>
      <c r="AN63" s="20">
        <f>IFERROR(ROUND(X63,BB63),"Prüfen!")</f>
        <v>640</v>
      </c>
      <c r="AO63" s="21" t="str">
        <f>Übernahme_Werte!I69</f>
        <v xml:space="preserve"> </v>
      </c>
      <c r="AP63" s="20">
        <f>IFERROR(ROUND(Z63,BD63),"Prüfen!")</f>
        <v>640</v>
      </c>
      <c r="AQ63" s="21" t="str">
        <f>Übernahme_Werte!K69</f>
        <v xml:space="preserve"> </v>
      </c>
      <c r="AR63" s="20">
        <f>IFERROR(ROUND(AB63,BF63),"Prüfen!")</f>
        <v>640</v>
      </c>
      <c r="AS63" s="21" t="str">
        <f>Übernahme_Werte!M69</f>
        <v xml:space="preserve"> </v>
      </c>
      <c r="AT63" s="20">
        <f>IFERROR(ROUND(AD63,BH63),"Prüfen!")</f>
        <v>640</v>
      </c>
      <c r="AU63" s="21" t="str">
        <f>Übernahme_Werte!O69</f>
        <v xml:space="preserve"> </v>
      </c>
      <c r="AV63" s="20">
        <f>IFERROR(ROUND(AF63,BJ63),"Prüfen!")</f>
        <v>640</v>
      </c>
      <c r="AW63" s="39"/>
      <c r="AX63" s="9"/>
      <c r="AY63" s="81"/>
      <c r="AZ63" s="1">
        <f>IFERROR(IF(AK63="&lt;",IF(V63&lt;0.01,$BF$3,IF(V63&lt;0.1,$BD$3,$BB$3))-(1+INT(LOG10(ABS(V63)))),IF(V63&lt;0.01,$BF$2,IF(V63&lt;0.1,$BD$2,$BB$2))-(1+INT(LOG10(ABS(V63))))),7)</f>
        <v>1</v>
      </c>
      <c r="BB63" s="1">
        <f>IFERROR(IF(AM63="&lt;",IF(X63&lt;0.01,$BF$3,IF(X63&lt;0.1,$BD$3,$BB$3))-(1+INT(LOG10(ABS(X63)))),IF(X63&lt;0.01,$BF$2,IF(X63&lt;0.1,$BD$2,$BB$2))-(1+INT(LOG10(ABS(X63))))),7)</f>
        <v>0</v>
      </c>
      <c r="BD63" s="1">
        <f>IFERROR(IF(AO63="&lt;",IF(Z63&lt;0.01,$BF$3,IF(Z63&lt;0.1,$BD$3,$BB$3))-(1+INT(LOG10(ABS(Z63)))),IF(Z63&lt;0.01,$BF$2,IF(Z63&lt;0.1,$BD$2,$BB$2))-(1+INT(LOG10(ABS(Z63))))),7)</f>
        <v>0</v>
      </c>
      <c r="BF63" s="1">
        <f>IFERROR(IF(AQ63="&lt;",IF(AB63&lt;0.01,$BF$3,IF(AB63&lt;0.1,$BD$3,$BB$3))-(1+INT(LOG10(ABS(AB63)))),IF(AB63&lt;0.01,$BF$2,IF(AB63&lt;0.1,$BD$2,$BB$2))-(1+INT(LOG10(ABS(AB63))))),7)</f>
        <v>0</v>
      </c>
      <c r="BH63" s="1">
        <f>IFERROR(IF(AS63="&lt;",IF(AD63&lt;0.01,$BF$3,IF(AD63&lt;0.1,$BD$3,$BB$3))-(1+INT(LOG10(ABS(AD63)))),IF(AD63&lt;0.01,$BF$2,IF(AD63&lt;0.1,$BD$2,$BB$2))-(1+INT(LOG10(ABS(AD63))))),7)</f>
        <v>0</v>
      </c>
      <c r="BJ63" s="1">
        <f>IFERROR(IF(AU63="&lt;",IF(AF63&lt;0.01,$BF$3,IF(AF63&lt;0.1,$BD$3,$BB$3))-(1+INT(LOG10(ABS(AF63)))),IF(AF63&lt;0.01,$BF$2,IF(AF63&lt;0.1,$BD$2,$BB$2))-(1+INT(LOG10(ABS(AF63))))),7)</f>
        <v>0</v>
      </c>
    </row>
    <row r="64" spans="18:62" x14ac:dyDescent="0.25">
      <c r="R64" s="266" t="str">
        <f>Übernahme_Werte!A70</f>
        <v>Zn_goL &lt; 1 mm</v>
      </c>
      <c r="T64" s="40" t="s">
        <v>20</v>
      </c>
      <c r="U64" s="40"/>
      <c r="V64" s="26">
        <f>Übernahme_Werte!F70*Übernahme_Werte!F$11</f>
        <v>80</v>
      </c>
      <c r="W64" s="26"/>
      <c r="X64" s="26">
        <f>Übernahme_Werte!H70*Übernahme_Werte!H$11</f>
        <v>680</v>
      </c>
      <c r="Y64" s="26"/>
      <c r="Z64" s="26">
        <f>Übernahme_Werte!J70*Übernahme_Werte!J$11</f>
        <v>680</v>
      </c>
      <c r="AA64" s="26"/>
      <c r="AB64" s="26">
        <f>Übernahme_Werte!L70*Übernahme_Werte!L$11</f>
        <v>680</v>
      </c>
      <c r="AC64" s="26"/>
      <c r="AD64" s="26">
        <f>Übernahme_Werte!N70*Übernahme_Werte!N$11</f>
        <v>680</v>
      </c>
      <c r="AE64" s="26"/>
      <c r="AF64" s="26">
        <f>Übernahme_Werte!P70*Übernahme_Werte!P$11</f>
        <v>680</v>
      </c>
      <c r="AG64" s="26"/>
      <c r="AH64" s="26"/>
      <c r="AI64" s="41" t="str">
        <f>Übernahme_Werte!A70</f>
        <v>Zn_goL &lt; 1 mm</v>
      </c>
      <c r="AJ64" s="40" t="s">
        <v>20</v>
      </c>
      <c r="AK64" s="21" t="str">
        <f>Übernahme_Werte!E70</f>
        <v xml:space="preserve"> </v>
      </c>
      <c r="AL64" s="20">
        <f>IFERROR(ROUND(V64,AZ64),"Prüfen!")</f>
        <v>80</v>
      </c>
      <c r="AM64" s="21" t="str">
        <f>Übernahme_Werte!G70</f>
        <v xml:space="preserve"> </v>
      </c>
      <c r="AN64" s="20">
        <f>IFERROR(ROUND(X64,BB64),"Prüfen!")</f>
        <v>680</v>
      </c>
      <c r="AO64" s="21" t="str">
        <f>Übernahme_Werte!I70</f>
        <v xml:space="preserve"> </v>
      </c>
      <c r="AP64" s="20">
        <f>IFERROR(ROUND(Z64,BD64),"Prüfen!")</f>
        <v>680</v>
      </c>
      <c r="AQ64" s="21" t="str">
        <f>Übernahme_Werte!K70</f>
        <v xml:space="preserve"> </v>
      </c>
      <c r="AR64" s="20">
        <f>IFERROR(ROUND(AB64,BF64),"Prüfen!")</f>
        <v>680</v>
      </c>
      <c r="AS64" s="21" t="str">
        <f>Übernahme_Werte!M70</f>
        <v xml:space="preserve"> </v>
      </c>
      <c r="AT64" s="20">
        <f>IFERROR(ROUND(AD64,BH64),"Prüfen!")</f>
        <v>680</v>
      </c>
      <c r="AU64" s="21" t="str">
        <f>Übernahme_Werte!O70</f>
        <v xml:space="preserve"> </v>
      </c>
      <c r="AV64" s="20">
        <f>IFERROR(ROUND(AF64,BJ64),"Prüfen!")</f>
        <v>680</v>
      </c>
      <c r="AW64" s="39"/>
      <c r="AX64" s="9"/>
      <c r="AY64" s="81"/>
      <c r="AZ64" s="1">
        <f>IFERROR(IF(AK64="&lt;",IF(V64&lt;0.01,$BF$3,IF(V64&lt;0.1,$BD$3,$BB$3))-(1+INT(LOG10(ABS(V64)))),IF(V64&lt;0.01,$BF$2,IF(V64&lt;0.1,$BD$2,$BB$2))-(1+INT(LOG10(ABS(V64))))),7)</f>
        <v>1</v>
      </c>
      <c r="BB64" s="1">
        <f>IFERROR(IF(AM64="&lt;",IF(X64&lt;0.01,$BF$3,IF(X64&lt;0.1,$BD$3,$BB$3))-(1+INT(LOG10(ABS(X64)))),IF(X64&lt;0.01,$BF$2,IF(X64&lt;0.1,$BD$2,$BB$2))-(1+INT(LOG10(ABS(X64))))),7)</f>
        <v>0</v>
      </c>
      <c r="BD64" s="1">
        <f>IFERROR(IF(AO64="&lt;",IF(Z64&lt;0.01,$BF$3,IF(Z64&lt;0.1,$BD$3,$BB$3))-(1+INT(LOG10(ABS(Z64)))),IF(Z64&lt;0.01,$BF$2,IF(Z64&lt;0.1,$BD$2,$BB$2))-(1+INT(LOG10(ABS(Z64))))),7)</f>
        <v>0</v>
      </c>
      <c r="BF64" s="1">
        <f>IFERROR(IF(AQ64="&lt;",IF(AB64&lt;0.01,$BF$3,IF(AB64&lt;0.1,$BD$3,$BB$3))-(1+INT(LOG10(ABS(AB64)))),IF(AB64&lt;0.01,$BF$2,IF(AB64&lt;0.1,$BD$2,$BB$2))-(1+INT(LOG10(ABS(AB64))))),7)</f>
        <v>0</v>
      </c>
      <c r="BH64" s="1">
        <f>IFERROR(IF(AS64="&lt;",IF(AD64&lt;0.01,$BF$3,IF(AD64&lt;0.1,$BD$3,$BB$3))-(1+INT(LOG10(ABS(AD64)))),IF(AD64&lt;0.01,$BF$2,IF(AD64&lt;0.1,$BD$2,$BB$2))-(1+INT(LOG10(ABS(AD64))))),7)</f>
        <v>0</v>
      </c>
      <c r="BJ64" s="1">
        <f>IFERROR(IF(AU64="&lt;",IF(AF64&lt;0.01,$BF$3,IF(AF64&lt;0.1,$BD$3,$BB$3))-(1+INT(LOG10(ABS(AF64)))),IF(AF64&lt;0.01,$BF$2,IF(AF64&lt;0.1,$BD$2,$BB$2))-(1+INT(LOG10(ABS(AF64))))),7)</f>
        <v>0</v>
      </c>
    </row>
    <row r="65" spans="2:62" ht="13.8" x14ac:dyDescent="0.25">
      <c r="R65"/>
      <c r="AW65" s="278"/>
      <c r="AX65" s="33"/>
      <c r="AY65" s="81"/>
    </row>
    <row r="66" spans="2:62" ht="13.8" x14ac:dyDescent="0.25">
      <c r="R66" s="4"/>
      <c r="T66" s="4"/>
      <c r="U66" s="4"/>
      <c r="V66" s="12"/>
      <c r="W66" s="12"/>
      <c r="X66" s="12"/>
      <c r="Y66" s="12"/>
      <c r="Z66" s="12"/>
      <c r="AA66" s="12"/>
      <c r="AB66" s="12"/>
      <c r="AC66" s="12"/>
      <c r="AD66" s="12"/>
      <c r="AE66" s="12"/>
      <c r="AF66" s="12"/>
      <c r="AG66" s="12"/>
      <c r="AH66" s="12"/>
      <c r="AI66" s="11"/>
      <c r="AJ66" s="4"/>
      <c r="AK66" s="4"/>
      <c r="AL66" s="10"/>
      <c r="AM66" s="4"/>
      <c r="AN66" s="10"/>
      <c r="AO66" s="4"/>
      <c r="AP66" s="10"/>
      <c r="AQ66" s="4"/>
      <c r="AR66" s="10"/>
      <c r="AS66" s="4"/>
      <c r="AT66" s="10"/>
      <c r="AU66" s="10"/>
      <c r="AV66" s="10"/>
      <c r="AW66" s="278"/>
      <c r="AX66" s="33"/>
      <c r="AY66" s="81"/>
    </row>
    <row r="67" spans="2:62" ht="13.8" x14ac:dyDescent="0.25">
      <c r="R67" s="6" t="s">
        <v>246</v>
      </c>
      <c r="T67" s="4"/>
      <c r="U67" s="4"/>
      <c r="V67" s="12"/>
      <c r="W67" s="12"/>
      <c r="X67" s="12"/>
      <c r="Y67" s="12"/>
      <c r="Z67" s="12"/>
      <c r="AA67" s="12"/>
      <c r="AB67" s="12"/>
      <c r="AC67" s="12"/>
      <c r="AD67" s="12"/>
      <c r="AE67" s="12"/>
      <c r="AF67" s="12"/>
      <c r="AG67" s="12"/>
      <c r="AH67" s="12"/>
      <c r="AI67" s="247" t="s">
        <v>252</v>
      </c>
      <c r="AJ67" s="4"/>
      <c r="AK67" s="4"/>
      <c r="AL67" s="10"/>
      <c r="AM67" s="4"/>
      <c r="AN67" s="10"/>
      <c r="AO67" s="4"/>
      <c r="AP67" s="10"/>
      <c r="AQ67" s="4"/>
      <c r="AR67" s="10"/>
      <c r="AS67" s="4"/>
      <c r="AT67" s="10"/>
      <c r="AU67" s="10"/>
      <c r="AV67" s="10"/>
      <c r="AW67" s="278"/>
      <c r="AX67" s="33"/>
      <c r="AY67" s="81"/>
    </row>
    <row r="68" spans="2:62" ht="13.8" x14ac:dyDescent="0.25">
      <c r="R68" s="267" t="s">
        <v>19</v>
      </c>
      <c r="T68" s="37"/>
      <c r="U68" s="37"/>
      <c r="V68" s="38">
        <f>V26</f>
        <v>408.06818181818181</v>
      </c>
      <c r="W68" s="12"/>
      <c r="X68" s="38">
        <f>X26</f>
        <v>404.18181818181819</v>
      </c>
      <c r="Y68" s="12"/>
      <c r="Z68" s="38">
        <f>Z26</f>
        <v>404.18181818181819</v>
      </c>
      <c r="AA68" s="12"/>
      <c r="AB68" s="38">
        <f>AB26</f>
        <v>404.18181818181819</v>
      </c>
      <c r="AC68" s="12"/>
      <c r="AD68" s="38">
        <f>AD26</f>
        <v>404.18181818181819</v>
      </c>
      <c r="AE68" s="12"/>
      <c r="AF68" s="38">
        <f>AF26</f>
        <v>404.18181818181819</v>
      </c>
      <c r="AG68" s="12"/>
      <c r="AH68" s="12"/>
      <c r="AI68" s="248" t="s">
        <v>19</v>
      </c>
      <c r="AJ68" s="37"/>
      <c r="AK68" s="37"/>
      <c r="AL68" s="8">
        <f>IFERROR(VALUE(AL26),"n.b.")</f>
        <v>408</v>
      </c>
      <c r="AM68" s="35"/>
      <c r="AN68" s="8">
        <f>IFERROR(VALUE(AN26),"n.b.")</f>
        <v>404</v>
      </c>
      <c r="AO68" s="35"/>
      <c r="AP68" s="8">
        <f>IFERROR(VALUE(AP26),"n.b.")</f>
        <v>404</v>
      </c>
      <c r="AQ68" s="35"/>
      <c r="AR68" s="8">
        <f>IFERROR(VALUE(AR26),"n.b.")</f>
        <v>404</v>
      </c>
      <c r="AS68" s="35"/>
      <c r="AT68" s="8">
        <f>IFERROR(VALUE(AT26),"n.b.")</f>
        <v>404</v>
      </c>
      <c r="AU68" s="36"/>
      <c r="AV68" s="8">
        <f>IFERROR(VALUE(AV26),"n.b.")</f>
        <v>404</v>
      </c>
      <c r="AW68" s="278"/>
      <c r="AX68" s="33"/>
      <c r="AY68" s="81"/>
      <c r="BB68" s="1"/>
      <c r="BD68" s="1"/>
      <c r="BF68" s="1"/>
      <c r="BH68" s="1"/>
      <c r="BJ68" s="1"/>
    </row>
    <row r="69" spans="2:62" ht="13.8" x14ac:dyDescent="0.25">
      <c r="R69" s="267" t="s">
        <v>18</v>
      </c>
      <c r="T69" s="37"/>
      <c r="U69" s="37"/>
      <c r="V69" s="38">
        <f>V35</f>
        <v>680.11363636363637</v>
      </c>
      <c r="W69" s="12"/>
      <c r="X69" s="38">
        <f>X35</f>
        <v>673.63636363636363</v>
      </c>
      <c r="Y69" s="12"/>
      <c r="Z69" s="38">
        <f>Z35</f>
        <v>673.63636363636363</v>
      </c>
      <c r="AA69" s="12"/>
      <c r="AB69" s="38">
        <f>AB35</f>
        <v>673.63636363636363</v>
      </c>
      <c r="AC69" s="12"/>
      <c r="AD69" s="38">
        <f>AD35</f>
        <v>673.63636363636363</v>
      </c>
      <c r="AE69" s="12"/>
      <c r="AF69" s="38">
        <f>AF35</f>
        <v>673.63636363636363</v>
      </c>
      <c r="AG69" s="12"/>
      <c r="AH69" s="12"/>
      <c r="AI69" s="248" t="s">
        <v>18</v>
      </c>
      <c r="AJ69" s="37"/>
      <c r="AK69" s="37"/>
      <c r="AL69" s="8">
        <f>IFERROR(VALUE(AL35),"n.b.")</f>
        <v>680</v>
      </c>
      <c r="AM69" s="35"/>
      <c r="AN69" s="8">
        <f>IFERROR(VALUE(AN35),"n.b.")</f>
        <v>674</v>
      </c>
      <c r="AO69" s="35"/>
      <c r="AP69" s="8">
        <f>IFERROR(VALUE(AP35),"n.b.")</f>
        <v>674</v>
      </c>
      <c r="AQ69" s="35"/>
      <c r="AR69" s="8">
        <f>IFERROR(VALUE(AR35),"n.b.")</f>
        <v>674</v>
      </c>
      <c r="AS69" s="35"/>
      <c r="AT69" s="8">
        <f>IFERROR(VALUE(AT35),"n.b.")</f>
        <v>674</v>
      </c>
      <c r="AU69" s="36"/>
      <c r="AV69" s="8">
        <f>IFERROR(VALUE(AV35),"n.b.")</f>
        <v>674</v>
      </c>
      <c r="AW69" s="278"/>
      <c r="AX69" s="33"/>
      <c r="AY69" s="81"/>
      <c r="BB69" s="1"/>
      <c r="BD69" s="1"/>
      <c r="BF69" s="1"/>
      <c r="BH69" s="1"/>
      <c r="BJ69" s="1"/>
    </row>
    <row r="70" spans="2:62" ht="13.8" x14ac:dyDescent="0.25">
      <c r="R70" s="267" t="s">
        <v>17</v>
      </c>
      <c r="T70" s="37"/>
      <c r="U70" s="37"/>
      <c r="V70" s="38">
        <f>V37</f>
        <v>770.7954545454545</v>
      </c>
      <c r="W70" s="12"/>
      <c r="X70" s="38">
        <f>X37</f>
        <v>763.45454545454538</v>
      </c>
      <c r="Y70" s="12"/>
      <c r="Z70" s="38">
        <f>Z37</f>
        <v>763.45454545454538</v>
      </c>
      <c r="AA70" s="12"/>
      <c r="AB70" s="38">
        <f>AB37</f>
        <v>763.45454545454538</v>
      </c>
      <c r="AC70" s="12"/>
      <c r="AD70" s="38">
        <f>AD37</f>
        <v>763.45454545454538</v>
      </c>
      <c r="AE70" s="12"/>
      <c r="AF70" s="38">
        <f>AF37</f>
        <v>763.45454545454538</v>
      </c>
      <c r="AG70" s="12"/>
      <c r="AH70" s="12"/>
      <c r="AI70" s="248" t="s">
        <v>17</v>
      </c>
      <c r="AJ70" s="37"/>
      <c r="AK70" s="37"/>
      <c r="AL70" s="8">
        <f>IFERROR(VALUE(AL37),"n.b.")</f>
        <v>771</v>
      </c>
      <c r="AM70" s="35"/>
      <c r="AN70" s="8">
        <f>IFERROR(VALUE(AN37),"n.b.")</f>
        <v>763</v>
      </c>
      <c r="AO70" s="35"/>
      <c r="AP70" s="8">
        <f>IFERROR(VALUE(AP37),"n.b.")</f>
        <v>763</v>
      </c>
      <c r="AQ70" s="35"/>
      <c r="AR70" s="8">
        <f>IFERROR(VALUE(AR37),"n.b.")</f>
        <v>763</v>
      </c>
      <c r="AS70" s="35"/>
      <c r="AT70" s="8">
        <f>IFERROR(VALUE(AT37),"n.b.")</f>
        <v>763</v>
      </c>
      <c r="AU70" s="36"/>
      <c r="AV70" s="8">
        <f>IFERROR(VALUE(AV37),"n.b.")</f>
        <v>763</v>
      </c>
      <c r="AW70" s="278"/>
      <c r="AX70" s="33"/>
      <c r="AY70" s="81"/>
      <c r="BB70" s="1"/>
      <c r="BD70" s="1"/>
      <c r="BF70" s="1"/>
      <c r="BH70" s="1"/>
      <c r="BJ70" s="1"/>
    </row>
    <row r="71" spans="2:62" ht="13.8" x14ac:dyDescent="0.25">
      <c r="R71" s="267" t="s">
        <v>16</v>
      </c>
      <c r="T71" s="37"/>
      <c r="U71" s="37"/>
      <c r="V71" s="38">
        <f>V46</f>
        <v>1133.5227272727273</v>
      </c>
      <c r="W71" s="12"/>
      <c r="X71" s="38">
        <f>X46</f>
        <v>1122.7272727272727</v>
      </c>
      <c r="Y71" s="12"/>
      <c r="Z71" s="38">
        <f>Z46</f>
        <v>1122.7272727272727</v>
      </c>
      <c r="AA71" s="12"/>
      <c r="AB71" s="38">
        <f>AB46</f>
        <v>1122.7272727272727</v>
      </c>
      <c r="AC71" s="12"/>
      <c r="AD71" s="38">
        <f>AD46</f>
        <v>1122.7272727272727</v>
      </c>
      <c r="AE71" s="12"/>
      <c r="AF71" s="38">
        <f>AF46</f>
        <v>1122.7272727272727</v>
      </c>
      <c r="AG71" s="12"/>
      <c r="AH71" s="12"/>
      <c r="AI71" s="248" t="s">
        <v>16</v>
      </c>
      <c r="AJ71" s="37"/>
      <c r="AK71" s="37"/>
      <c r="AL71" s="8">
        <f>IFERROR(VALUE(AL46),"n.b.")</f>
        <v>1130</v>
      </c>
      <c r="AM71" s="35"/>
      <c r="AN71" s="8">
        <f>IFERROR(VALUE(AN46),"n.b.")</f>
        <v>1120</v>
      </c>
      <c r="AO71" s="35"/>
      <c r="AP71" s="8">
        <f>IFERROR(VALUE(AP46),"n.b.")</f>
        <v>1120</v>
      </c>
      <c r="AQ71" s="35"/>
      <c r="AR71" s="8">
        <f>IFERROR(VALUE(AR46),"n.b.")</f>
        <v>1120</v>
      </c>
      <c r="AS71" s="35"/>
      <c r="AT71" s="8">
        <f>IFERROR(VALUE(AT46),"n.b.")</f>
        <v>1120</v>
      </c>
      <c r="AU71" s="36"/>
      <c r="AV71" s="8">
        <f>IFERROR(VALUE(AV46),"n.b.")</f>
        <v>1120</v>
      </c>
      <c r="AW71" s="278"/>
      <c r="AX71" s="33"/>
      <c r="AY71" s="81"/>
      <c r="BB71" s="1"/>
      <c r="BD71" s="1"/>
      <c r="BF71" s="1"/>
      <c r="BH71" s="1"/>
      <c r="BJ71" s="1"/>
    </row>
    <row r="72" spans="2:62" ht="13.8" x14ac:dyDescent="0.3">
      <c r="E72" s="6"/>
      <c r="R72" s="4"/>
      <c r="T72" s="4"/>
      <c r="U72" s="4"/>
      <c r="V72" s="12"/>
      <c r="W72" s="12"/>
      <c r="X72" s="12"/>
      <c r="Y72" s="12"/>
      <c r="Z72" s="12"/>
      <c r="AA72" s="12"/>
      <c r="AB72" s="12"/>
      <c r="AC72" s="12"/>
      <c r="AD72" s="12"/>
      <c r="AE72" s="12"/>
      <c r="AF72" s="12"/>
      <c r="AG72" s="12"/>
      <c r="AH72" s="12"/>
      <c r="AI72" s="34" t="s">
        <v>247</v>
      </c>
      <c r="AJ72" s="4"/>
      <c r="AK72" s="4"/>
      <c r="AL72" s="10"/>
      <c r="AM72" s="4"/>
      <c r="AN72" s="10"/>
      <c r="AO72" s="4"/>
      <c r="AP72" s="10"/>
      <c r="AQ72" s="4"/>
      <c r="AR72" s="10"/>
      <c r="AS72" s="4"/>
      <c r="AT72" s="10"/>
      <c r="AU72" s="10"/>
      <c r="AV72" s="10"/>
      <c r="AW72" s="278"/>
      <c r="AX72" s="33"/>
      <c r="AY72" s="81"/>
    </row>
    <row r="73" spans="2:62" ht="13.8" x14ac:dyDescent="0.25">
      <c r="B73" t="s">
        <v>207</v>
      </c>
      <c r="D73" s="6"/>
      <c r="R73" s="71" t="s">
        <v>244</v>
      </c>
      <c r="T73" s="13"/>
      <c r="U73" s="13"/>
      <c r="V73" s="28"/>
      <c r="W73" s="19"/>
      <c r="X73" s="28"/>
      <c r="Y73" s="19"/>
      <c r="Z73" s="28"/>
      <c r="AA73" s="19"/>
      <c r="AB73" s="28"/>
      <c r="AC73" s="19"/>
      <c r="AD73" s="28"/>
      <c r="AE73" s="19"/>
      <c r="AF73" s="28"/>
      <c r="AG73" s="12"/>
      <c r="AH73" s="12"/>
      <c r="AI73" s="29" t="str">
        <f>R73</f>
        <v>Stoffgr. 1 (Ansatz Mindestanteil nach Plf)</v>
      </c>
      <c r="AJ73" s="13"/>
      <c r="AK73" s="13"/>
      <c r="AL73" s="32"/>
      <c r="AM73" s="13"/>
      <c r="AN73" s="32"/>
      <c r="AO73" s="13"/>
      <c r="AP73" s="32"/>
      <c r="AQ73" s="13"/>
      <c r="AR73" s="32"/>
      <c r="AS73" s="13"/>
      <c r="AT73" s="32"/>
      <c r="AU73" s="13"/>
      <c r="AV73" s="32"/>
      <c r="AW73" s="39"/>
      <c r="AX73" s="9"/>
      <c r="AY73" s="81"/>
    </row>
    <row r="74" spans="2:62" ht="13.8" x14ac:dyDescent="0.25">
      <c r="B74" s="56" t="s">
        <v>15</v>
      </c>
      <c r="D74" s="264">
        <v>0.7</v>
      </c>
      <c r="R74" s="56" t="s">
        <v>15</v>
      </c>
      <c r="T74" s="31"/>
      <c r="U74" s="31"/>
      <c r="V74" s="7">
        <f>V68*$D74</f>
        <v>285.64772727272725</v>
      </c>
      <c r="W74" s="31" t="s">
        <v>3</v>
      </c>
      <c r="X74" s="7">
        <f>X68*$D74</f>
        <v>282.92727272727274</v>
      </c>
      <c r="Y74" s="31" t="s">
        <v>3</v>
      </c>
      <c r="Z74" s="7">
        <f>Z68*$D74</f>
        <v>282.92727272727274</v>
      </c>
      <c r="AA74" s="31" t="s">
        <v>3</v>
      </c>
      <c r="AB74" s="7">
        <f>AB68*$D74</f>
        <v>282.92727272727274</v>
      </c>
      <c r="AC74" s="31" t="s">
        <v>3</v>
      </c>
      <c r="AD74" s="7">
        <f>AD68*$D74</f>
        <v>282.92727272727274</v>
      </c>
      <c r="AE74" s="31" t="s">
        <v>3</v>
      </c>
      <c r="AF74" s="7">
        <f>AF68*$D74</f>
        <v>282.92727272727274</v>
      </c>
      <c r="AG74" s="12"/>
      <c r="AH74" s="12"/>
      <c r="AI74" s="22" t="str">
        <f>für_Einstufung!B74</f>
        <v>Cu_Stoffgr. 1</v>
      </c>
      <c r="AJ74" s="31"/>
      <c r="AK74" s="21"/>
      <c r="AL74" s="8">
        <f>IFERROR(ROUND(V74,AZ74),"Prüfen!")</f>
        <v>286</v>
      </c>
      <c r="AM74" s="20"/>
      <c r="AN74" s="8">
        <f>IFERROR(ROUND(X74,BB74),"Prüfen!")</f>
        <v>283</v>
      </c>
      <c r="AO74" s="20"/>
      <c r="AP74" s="8">
        <f>IFERROR(ROUND(Z74,BD74),"Prüfen!")</f>
        <v>283</v>
      </c>
      <c r="AQ74" s="20"/>
      <c r="AR74" s="8">
        <f>IFERROR(ROUND(AB74,BF74),"Prüfen!")</f>
        <v>283</v>
      </c>
      <c r="AS74" s="20"/>
      <c r="AT74" s="8">
        <f>IFERROR(ROUND(AD74,BH74),"Prüfen!")</f>
        <v>283</v>
      </c>
      <c r="AU74" s="20"/>
      <c r="AV74" s="8">
        <f>IFERROR(ROUND(AF74,BJ74),"Prüfen!")</f>
        <v>283</v>
      </c>
      <c r="AW74" s="39"/>
      <c r="AX74" s="9"/>
      <c r="AY74" s="81"/>
      <c r="AZ74" s="1">
        <f>IFERROR(IF(AK74="&lt;",IF(V74&lt;0.01,$BF$3,IF(V74&lt;0.1,$BD$3,$BB$3))-(1+INT(LOG10(ABS(V74)))),IF(V74&lt;0.01,$BF$2,IF(V74&lt;0.1,$BD$2,$BB$2))-(1+INT(LOG10(ABS(V74))))),7)</f>
        <v>0</v>
      </c>
      <c r="BB74" s="1">
        <f>IFERROR(IF(AM74="&lt;",IF(X74&lt;0.01,$BF$3,IF(X74&lt;0.1,$BD$3,$BB$3))-(1+INT(LOG10(ABS(X74)))),IF(X74&lt;0.01,$BF$2,IF(X74&lt;0.1,$BD$2,$BB$2))-(1+INT(LOG10(ABS(X74))))),7)</f>
        <v>0</v>
      </c>
      <c r="BD74" s="1">
        <f>IFERROR(IF(AO74="&lt;",IF(Z74&lt;0.01,$BF$3,IF(Z74&lt;0.1,$BD$3,$BB$3))-(1+INT(LOG10(ABS(Z74)))),IF(Z74&lt;0.01,$BF$2,IF(Z74&lt;0.1,$BD$2,$BB$2))-(1+INT(LOG10(ABS(Z74))))),7)</f>
        <v>0</v>
      </c>
      <c r="BF74" s="1">
        <f>IFERROR(IF(AQ74="&lt;",IF(AB74&lt;0.01,$BF$3,IF(AB74&lt;0.1,$BD$3,$BB$3))-(1+INT(LOG10(ABS(AB74)))),IF(AB74&lt;0.01,$BF$2,IF(AB74&lt;0.1,$BD$2,$BB$2))-(1+INT(LOG10(ABS(AB74))))),7)</f>
        <v>0</v>
      </c>
      <c r="BH74" s="1">
        <f>IFERROR(IF(AS74="&lt;",IF(AD74&lt;0.01,$BF$3,IF(AD74&lt;0.1,$BD$3,$BB$3))-(1+INT(LOG10(ABS(AD74)))),IF(AD74&lt;0.01,$BF$2,IF(AD74&lt;0.1,$BD$2,$BB$2))-(1+INT(LOG10(ABS(AD74))))),7)</f>
        <v>0</v>
      </c>
      <c r="BJ74" s="1">
        <f>IFERROR(IF(AU74="&lt;",IF(AF74&lt;0.01,$BF$3,IF(AF74&lt;0.1,$BD$3,$BB$3))-(1+INT(LOG10(ABS(AF74)))),IF(AF74&lt;0.01,$BF$2,IF(AF74&lt;0.1,$BD$2,$BB$2))-(1+INT(LOG10(ABS(AF74))))),7)</f>
        <v>0</v>
      </c>
    </row>
    <row r="75" spans="2:62" ht="13.8" x14ac:dyDescent="0.25">
      <c r="B75" s="56" t="s">
        <v>14</v>
      </c>
      <c r="D75" s="264">
        <v>0.6</v>
      </c>
      <c r="R75" s="56" t="s">
        <v>14</v>
      </c>
      <c r="T75" s="13"/>
      <c r="U75" s="13"/>
      <c r="V75" s="7">
        <f>V69*$D75</f>
        <v>408.06818181818181</v>
      </c>
      <c r="W75" s="13" t="s">
        <v>3</v>
      </c>
      <c r="X75" s="7">
        <f>X69*$D75</f>
        <v>404.18181818181819</v>
      </c>
      <c r="Y75" s="13" t="s">
        <v>3</v>
      </c>
      <c r="Z75" s="7">
        <f>Z69*$D75</f>
        <v>404.18181818181819</v>
      </c>
      <c r="AA75" s="13" t="s">
        <v>3</v>
      </c>
      <c r="AB75" s="7">
        <f>AB69*$D75</f>
        <v>404.18181818181819</v>
      </c>
      <c r="AC75" s="13" t="s">
        <v>3</v>
      </c>
      <c r="AD75" s="7">
        <f>AD69*$D75</f>
        <v>404.18181818181819</v>
      </c>
      <c r="AE75" s="13" t="s">
        <v>3</v>
      </c>
      <c r="AF75" s="7">
        <f>AF69*$D75</f>
        <v>404.18181818181819</v>
      </c>
      <c r="AI75" s="22" t="str">
        <f>für_Einstufung!B75</f>
        <v>Ni_Stoffgr. 1</v>
      </c>
      <c r="AJ75" s="13"/>
      <c r="AK75" s="21"/>
      <c r="AL75" s="8">
        <f>IFERROR(ROUND(V75,AZ75),"Prüfen!")</f>
        <v>408</v>
      </c>
      <c r="AM75" s="20"/>
      <c r="AN75" s="8">
        <f>IFERROR(ROUND(X75,BB75),"Prüfen!")</f>
        <v>404</v>
      </c>
      <c r="AO75" s="20"/>
      <c r="AP75" s="8">
        <f>IFERROR(ROUND(Z75,BD75),"Prüfen!")</f>
        <v>404</v>
      </c>
      <c r="AQ75" s="20"/>
      <c r="AR75" s="8">
        <f>IFERROR(ROUND(AB75,BF75),"Prüfen!")</f>
        <v>404</v>
      </c>
      <c r="AS75" s="20"/>
      <c r="AT75" s="8">
        <f>IFERROR(ROUND(AD75,BH75),"Prüfen!")</f>
        <v>404</v>
      </c>
      <c r="AU75" s="20"/>
      <c r="AV75" s="8">
        <f>IFERROR(ROUND(AF75,BJ75),"Prüfen!")</f>
        <v>404</v>
      </c>
      <c r="AW75" s="39"/>
      <c r="AX75" s="9"/>
      <c r="AY75" s="81"/>
      <c r="AZ75" s="1">
        <f>IFERROR(IF(AK75="&lt;",IF(V75&lt;0.01,$BF$3,IF(V75&lt;0.1,$BD$3,$BB$3))-(1+INT(LOG10(ABS(V75)))),IF(V75&lt;0.01,$BF$2,IF(V75&lt;0.1,$BD$2,$BB$2))-(1+INT(LOG10(ABS(V75))))),7)</f>
        <v>0</v>
      </c>
      <c r="BB75" s="1">
        <f>IFERROR(IF(AM75="&lt;",IF(X75&lt;0.01,$BF$3,IF(X75&lt;0.1,$BD$3,$BB$3))-(1+INT(LOG10(ABS(X75)))),IF(X75&lt;0.01,$BF$2,IF(X75&lt;0.1,$BD$2,$BB$2))-(1+INT(LOG10(ABS(X75))))),7)</f>
        <v>0</v>
      </c>
      <c r="BD75" s="1">
        <f>IFERROR(IF(AO75="&lt;",IF(Z75&lt;0.01,$BF$3,IF(Z75&lt;0.1,$BD$3,$BB$3))-(1+INT(LOG10(ABS(Z75)))),IF(Z75&lt;0.01,$BF$2,IF(Z75&lt;0.1,$BD$2,$BB$2))-(1+INT(LOG10(ABS(Z75))))),7)</f>
        <v>0</v>
      </c>
      <c r="BF75" s="1">
        <f>IFERROR(IF(AQ75="&lt;",IF(AB75&lt;0.01,$BF$3,IF(AB75&lt;0.1,$BD$3,$BB$3))-(1+INT(LOG10(ABS(AB75)))),IF(AB75&lt;0.01,$BF$2,IF(AB75&lt;0.1,$BD$2,$BB$2))-(1+INT(LOG10(ABS(AB75))))),7)</f>
        <v>0</v>
      </c>
      <c r="BH75" s="1">
        <f>IFERROR(IF(AS75="&lt;",IF(AD75&lt;0.01,$BF$3,IF(AD75&lt;0.1,$BD$3,$BB$3))-(1+INT(LOG10(ABS(AD75)))),IF(AD75&lt;0.01,$BF$2,IF(AD75&lt;0.1,$BD$2,$BB$2))-(1+INT(LOG10(ABS(AD75))))),7)</f>
        <v>0</v>
      </c>
      <c r="BJ75" s="1">
        <f>IFERROR(IF(AU75="&lt;",IF(AF75&lt;0.01,$BF$3,IF(AF75&lt;0.1,$BD$3,$BB$3))-(1+INT(LOG10(ABS(AF75)))),IF(AF75&lt;0.01,$BF$2,IF(AF75&lt;0.1,$BD$2,$BB$2))-(1+INT(LOG10(ABS(AF75))))),7)</f>
        <v>0</v>
      </c>
    </row>
    <row r="76" spans="2:62" x14ac:dyDescent="0.25">
      <c r="B76" s="56" t="s">
        <v>13</v>
      </c>
      <c r="D76" s="264">
        <v>0.4</v>
      </c>
      <c r="R76" s="56" t="s">
        <v>13</v>
      </c>
      <c r="V76" s="7">
        <f>V70*$D76</f>
        <v>308.31818181818181</v>
      </c>
      <c r="W76" t="s">
        <v>3</v>
      </c>
      <c r="X76" s="7">
        <f>X70*$D76</f>
        <v>305.38181818181818</v>
      </c>
      <c r="Y76" t="s">
        <v>3</v>
      </c>
      <c r="Z76" s="7">
        <f>Z70*$D76</f>
        <v>305.38181818181818</v>
      </c>
      <c r="AA76" t="s">
        <v>3</v>
      </c>
      <c r="AB76" s="7">
        <f>AB70*$D76</f>
        <v>305.38181818181818</v>
      </c>
      <c r="AC76" t="s">
        <v>3</v>
      </c>
      <c r="AD76" s="7">
        <f>AD70*$D76</f>
        <v>305.38181818181818</v>
      </c>
      <c r="AE76" t="s">
        <v>3</v>
      </c>
      <c r="AF76" s="7">
        <f>AF70*$D76</f>
        <v>305.38181818181818</v>
      </c>
      <c r="AI76" s="22" t="str">
        <f>für_Einstufung!B76</f>
        <v>Pb_Stoffgr. 1</v>
      </c>
      <c r="AK76" s="21"/>
      <c r="AL76" s="8">
        <f>IFERROR(ROUND(V76,AZ76),"Prüfen!")</f>
        <v>308</v>
      </c>
      <c r="AM76" s="20"/>
      <c r="AN76" s="8">
        <f>IFERROR(ROUND(X76,BB76),"Prüfen!")</f>
        <v>305</v>
      </c>
      <c r="AO76" s="20"/>
      <c r="AP76" s="8">
        <f>IFERROR(ROUND(Z76,BD76),"Prüfen!")</f>
        <v>305</v>
      </c>
      <c r="AQ76" s="20"/>
      <c r="AR76" s="8">
        <f>IFERROR(ROUND(AB76,BF76),"Prüfen!")</f>
        <v>305</v>
      </c>
      <c r="AS76" s="20"/>
      <c r="AT76" s="8">
        <f>IFERROR(ROUND(AD76,BH76),"Prüfen!")</f>
        <v>305</v>
      </c>
      <c r="AU76" s="20"/>
      <c r="AV76" s="8">
        <f>IFERROR(ROUND(AF76,BJ76),"Prüfen!")</f>
        <v>305</v>
      </c>
      <c r="AW76" s="44"/>
      <c r="AY76" s="81"/>
      <c r="AZ76" s="1">
        <f>IFERROR(IF(AK76="&lt;",IF(V76&lt;0.01,$BF$3,IF(V76&lt;0.1,$BD$3,$BB$3))-(1+INT(LOG10(ABS(V76)))),IF(V76&lt;0.01,$BF$2,IF(V76&lt;0.1,$BD$2,$BB$2))-(1+INT(LOG10(ABS(V76))))),7)</f>
        <v>0</v>
      </c>
      <c r="BB76" s="1">
        <f>IFERROR(IF(AM76="&lt;",IF(X76&lt;0.01,$BF$3,IF(X76&lt;0.1,$BD$3,$BB$3))-(1+INT(LOG10(ABS(X76)))),IF(X76&lt;0.01,$BF$2,IF(X76&lt;0.1,$BD$2,$BB$2))-(1+INT(LOG10(ABS(X76))))),7)</f>
        <v>0</v>
      </c>
      <c r="BD76" s="1">
        <f>IFERROR(IF(AO76="&lt;",IF(Z76&lt;0.01,$BF$3,IF(Z76&lt;0.1,$BD$3,$BB$3))-(1+INT(LOG10(ABS(Z76)))),IF(Z76&lt;0.01,$BF$2,IF(Z76&lt;0.1,$BD$2,$BB$2))-(1+INT(LOG10(ABS(Z76))))),7)</f>
        <v>0</v>
      </c>
      <c r="BF76" s="1">
        <f>IFERROR(IF(AQ76="&lt;",IF(AB76&lt;0.01,$BF$3,IF(AB76&lt;0.1,$BD$3,$BB$3))-(1+INT(LOG10(ABS(AB76)))),IF(AB76&lt;0.01,$BF$2,IF(AB76&lt;0.1,$BD$2,$BB$2))-(1+INT(LOG10(ABS(AB76))))),7)</f>
        <v>0</v>
      </c>
      <c r="BH76" s="1">
        <f>IFERROR(IF(AS76="&lt;",IF(AD76&lt;0.01,$BF$3,IF(AD76&lt;0.1,$BD$3,$BB$3))-(1+INT(LOG10(ABS(AD76)))),IF(AD76&lt;0.01,$BF$2,IF(AD76&lt;0.1,$BD$2,$BB$2))-(1+INT(LOG10(ABS(AD76))))),7)</f>
        <v>0</v>
      </c>
      <c r="BJ76" s="1">
        <f>IFERROR(IF(AU76="&lt;",IF(AF76&lt;0.01,$BF$3,IF(AF76&lt;0.1,$BD$3,$BB$3))-(1+INT(LOG10(ABS(AF76)))),IF(AF76&lt;0.01,$BF$2,IF(AF76&lt;0.1,$BD$2,$BB$2))-(1+INT(LOG10(ABS(AF76))))),7)</f>
        <v>0</v>
      </c>
    </row>
    <row r="77" spans="2:62" ht="13.8" x14ac:dyDescent="0.25">
      <c r="B77" s="56" t="s">
        <v>12</v>
      </c>
      <c r="D77" s="264">
        <v>0.5</v>
      </c>
      <c r="R77" s="56" t="s">
        <v>12</v>
      </c>
      <c r="T77" s="13"/>
      <c r="U77" s="13"/>
      <c r="V77" s="7">
        <f>V71*$D77</f>
        <v>566.76136363636363</v>
      </c>
      <c r="W77" s="13" t="s">
        <v>3</v>
      </c>
      <c r="X77" s="7">
        <f>X71*$D77</f>
        <v>561.36363636363637</v>
      </c>
      <c r="Y77" s="13" t="s">
        <v>3</v>
      </c>
      <c r="Z77" s="7">
        <f>Z71*$D77</f>
        <v>561.36363636363637</v>
      </c>
      <c r="AA77" s="13" t="s">
        <v>3</v>
      </c>
      <c r="AB77" s="7">
        <f>AB71*$D77</f>
        <v>561.36363636363637</v>
      </c>
      <c r="AC77" s="13" t="s">
        <v>3</v>
      </c>
      <c r="AD77" s="7">
        <f>AD71*$D77</f>
        <v>561.36363636363637</v>
      </c>
      <c r="AE77" s="13" t="s">
        <v>3</v>
      </c>
      <c r="AF77" s="7">
        <f>AF71*$D77</f>
        <v>561.36363636363637</v>
      </c>
      <c r="AG77" s="12"/>
      <c r="AH77" s="12"/>
      <c r="AI77" s="22" t="str">
        <f>für_Einstufung!B77</f>
        <v>Zn_Stoffgr. 1</v>
      </c>
      <c r="AJ77" s="13"/>
      <c r="AK77" s="21"/>
      <c r="AL77" s="8">
        <f>IFERROR(ROUND(V77,AZ77),"Prüfen!")</f>
        <v>567</v>
      </c>
      <c r="AM77" s="20"/>
      <c r="AN77" s="8">
        <f>IFERROR(ROUND(X77,BB77),"Prüfen!")</f>
        <v>561</v>
      </c>
      <c r="AO77" s="20"/>
      <c r="AP77" s="8">
        <f>IFERROR(ROUND(Z77,BD77),"Prüfen!")</f>
        <v>561</v>
      </c>
      <c r="AQ77" s="20"/>
      <c r="AR77" s="8">
        <f>IFERROR(ROUND(AB77,BF77),"Prüfen!")</f>
        <v>561</v>
      </c>
      <c r="AS77" s="20"/>
      <c r="AT77" s="8">
        <f>IFERROR(ROUND(AD77,BH77),"Prüfen!")</f>
        <v>561</v>
      </c>
      <c r="AU77" s="20"/>
      <c r="AV77" s="8">
        <f>IFERROR(ROUND(AF77,BJ77),"Prüfen!")</f>
        <v>561</v>
      </c>
      <c r="AW77" s="39"/>
      <c r="AX77" s="9"/>
      <c r="AY77" s="81"/>
      <c r="AZ77" s="1">
        <f>IFERROR(IF(AK77="&lt;",IF(V77&lt;0.01,$BF$3,IF(V77&lt;0.1,$BD$3,$BB$3))-(1+INT(LOG10(ABS(V77)))),IF(V77&lt;0.01,$BF$2,IF(V77&lt;0.1,$BD$2,$BB$2))-(1+INT(LOG10(ABS(V77))))),7)</f>
        <v>0</v>
      </c>
      <c r="BB77" s="1">
        <f>IFERROR(IF(AM77="&lt;",IF(X77&lt;0.01,$BF$3,IF(X77&lt;0.1,$BD$3,$BB$3))-(1+INT(LOG10(ABS(X77)))),IF(X77&lt;0.01,$BF$2,IF(X77&lt;0.1,$BD$2,$BB$2))-(1+INT(LOG10(ABS(X77))))),7)</f>
        <v>0</v>
      </c>
      <c r="BD77" s="1">
        <f>IFERROR(IF(AO77="&lt;",IF(Z77&lt;0.01,$BF$3,IF(Z77&lt;0.1,$BD$3,$BB$3))-(1+INT(LOG10(ABS(Z77)))),IF(Z77&lt;0.01,$BF$2,IF(Z77&lt;0.1,$BD$2,$BB$2))-(1+INT(LOG10(ABS(Z77))))),7)</f>
        <v>0</v>
      </c>
      <c r="BF77" s="1">
        <f>IFERROR(IF(AQ77="&lt;",IF(AB77&lt;0.01,$BF$3,IF(AB77&lt;0.1,$BD$3,$BB$3))-(1+INT(LOG10(ABS(AB77)))),IF(AB77&lt;0.01,$BF$2,IF(AB77&lt;0.1,$BD$2,$BB$2))-(1+INT(LOG10(ABS(AB77))))),7)</f>
        <v>0</v>
      </c>
      <c r="BH77" s="1">
        <f>IFERROR(IF(AS77="&lt;",IF(AD77&lt;0.01,$BF$3,IF(AD77&lt;0.1,$BD$3,$BB$3))-(1+INT(LOG10(ABS(AD77)))),IF(AD77&lt;0.01,$BF$2,IF(AD77&lt;0.1,$BD$2,$BB$2))-(1+INT(LOG10(ABS(AD77))))),7)</f>
        <v>0</v>
      </c>
      <c r="BJ77" s="1">
        <f>IFERROR(IF(AU77="&lt;",IF(AF77&lt;0.01,$BF$3,IF(AF77&lt;0.1,$BD$3,$BB$3))-(1+INT(LOG10(ABS(AF77)))),IF(AF77&lt;0.01,$BF$2,IF(AF77&lt;0.1,$BD$2,$BB$2))-(1+INT(LOG10(ABS(AF77))))),7)</f>
        <v>0</v>
      </c>
    </row>
    <row r="78" spans="2:62" x14ac:dyDescent="0.25">
      <c r="R78" s="71" t="s">
        <v>208</v>
      </c>
      <c r="V78" s="28"/>
      <c r="W78"/>
      <c r="X78" s="28"/>
      <c r="Y78"/>
      <c r="Z78" s="28"/>
      <c r="AA78"/>
      <c r="AB78" s="28"/>
      <c r="AC78"/>
      <c r="AD78" s="28"/>
      <c r="AE78"/>
      <c r="AF78" s="28"/>
      <c r="AI78" s="29" t="str">
        <f t="shared" ref="AI78:AI83" si="20">R78</f>
        <v>Stoffgr. 2, Differenz (Gesamtgehalt - Stoffgr. 1 - Stoffgr. 3)</v>
      </c>
      <c r="AL78" s="8"/>
      <c r="AN78" s="8"/>
      <c r="AP78" s="8"/>
      <c r="AR78" s="8"/>
      <c r="AT78" s="8"/>
      <c r="AV78" s="8"/>
      <c r="AW78" s="44"/>
      <c r="AY78" s="81"/>
      <c r="BB78" s="1"/>
      <c r="BD78" s="1"/>
      <c r="BF78" s="1"/>
      <c r="BH78" s="1"/>
      <c r="BJ78" s="1"/>
    </row>
    <row r="79" spans="2:62" ht="13.8" x14ac:dyDescent="0.25">
      <c r="R79" s="56" t="s">
        <v>11</v>
      </c>
      <c r="V79" s="7">
        <f>V68-V74-V84</f>
        <v>107.88281784545455</v>
      </c>
      <c r="W79" t="s">
        <v>3</v>
      </c>
      <c r="X79" s="7">
        <f>X68-X74-X84</f>
        <v>111.25454545454545</v>
      </c>
      <c r="Y79" t="s">
        <v>3</v>
      </c>
      <c r="Z79" s="7">
        <f>Z68-Z74-Z84</f>
        <v>111.25454545454545</v>
      </c>
      <c r="AA79" t="s">
        <v>3</v>
      </c>
      <c r="AB79" s="7">
        <f>AB68-AB74-AB84</f>
        <v>111.25454545454545</v>
      </c>
      <c r="AC79" t="s">
        <v>3</v>
      </c>
      <c r="AD79" s="7">
        <f>AD68-AD74-AD84</f>
        <v>106.71690875454544</v>
      </c>
      <c r="AE79" t="s">
        <v>3</v>
      </c>
      <c r="AF79" s="7">
        <f>AF68-AF74-AF84</f>
        <v>111.25454545454545</v>
      </c>
      <c r="AG79" s="12"/>
      <c r="AH79" s="12"/>
      <c r="AI79" s="22" t="str">
        <f t="shared" si="20"/>
        <v>Cu_Stoffgr. 2</v>
      </c>
      <c r="AK79" s="21"/>
      <c r="AL79" s="8">
        <f>IFERROR(ROUND(V79,AZ79),"Prüfen!")</f>
        <v>108</v>
      </c>
      <c r="AM79" s="20"/>
      <c r="AN79" s="8">
        <f>IFERROR(ROUND(X79,BB79),"Prüfen!")</f>
        <v>111</v>
      </c>
      <c r="AO79" s="20"/>
      <c r="AP79" s="8">
        <f>IFERROR(ROUND(Z79,BD79),"Prüfen!")</f>
        <v>111</v>
      </c>
      <c r="AQ79" s="20"/>
      <c r="AR79" s="8">
        <f>IFERROR(ROUND(AB79,BF79),"Prüfen!")</f>
        <v>111</v>
      </c>
      <c r="AS79" s="20"/>
      <c r="AT79" s="8">
        <f>IFERROR(ROUND(AD79,BH79),"Prüfen!")</f>
        <v>107</v>
      </c>
      <c r="AU79" s="20"/>
      <c r="AV79" s="8">
        <f>IFERROR(ROUND(AF79,BJ79),"Prüfen!")</f>
        <v>111</v>
      </c>
      <c r="AW79" s="44"/>
      <c r="AY79" s="81"/>
      <c r="AZ79" s="1">
        <f>IFERROR(IF(AK79="&lt;",IF(V79&lt;0.01,$BF$3,IF(V79&lt;0.1,$BD$3,$BB$3))-(1+INT(LOG10(ABS(V79)))),IF(V79&lt;0.01,$BF$2,IF(V79&lt;0.1,$BD$2,$BB$2))-(1+INT(LOG10(ABS(V79))))),7)</f>
        <v>0</v>
      </c>
      <c r="BB79" s="1">
        <f>IFERROR(IF(AM79="&lt;",IF(X79&lt;0.01,$BF$3,IF(X79&lt;0.1,$BD$3,$BB$3))-(1+INT(LOG10(ABS(X79)))),IF(X79&lt;0.01,$BF$2,IF(X79&lt;0.1,$BD$2,$BB$2))-(1+INT(LOG10(ABS(X79))))),7)</f>
        <v>0</v>
      </c>
      <c r="BD79" s="1">
        <f>IFERROR(IF(AO79="&lt;",IF(Z79&lt;0.01,$BF$3,IF(Z79&lt;0.1,$BD$3,$BB$3))-(1+INT(LOG10(ABS(Z79)))),IF(Z79&lt;0.01,$BF$2,IF(Z79&lt;0.1,$BD$2,$BB$2))-(1+INT(LOG10(ABS(Z79))))),7)</f>
        <v>0</v>
      </c>
      <c r="BF79" s="1">
        <f>IFERROR(IF(AQ79="&lt;",IF(AB79&lt;0.01,$BF$3,IF(AB79&lt;0.1,$BD$3,$BB$3))-(1+INT(LOG10(ABS(AB79)))),IF(AB79&lt;0.01,$BF$2,IF(AB79&lt;0.1,$BD$2,$BB$2))-(1+INT(LOG10(ABS(AB79))))),7)</f>
        <v>0</v>
      </c>
      <c r="BH79" s="1">
        <f>IFERROR(IF(AS79="&lt;",IF(AD79&lt;0.01,$BF$3,IF(AD79&lt;0.1,$BD$3,$BB$3))-(1+INT(LOG10(ABS(AD79)))),IF(AD79&lt;0.01,$BF$2,IF(AD79&lt;0.1,$BD$2,$BB$2))-(1+INT(LOG10(ABS(AD79))))),7)</f>
        <v>0</v>
      </c>
      <c r="BJ79" s="1">
        <f>IFERROR(IF(AU79="&lt;",IF(AF79&lt;0.01,$BF$3,IF(AF79&lt;0.1,$BD$3,$BB$3))-(1+INT(LOG10(ABS(AF79)))),IF(AF79&lt;0.01,$BF$2,IF(AF79&lt;0.1,$BD$2,$BB$2))-(1+INT(LOG10(ABS(AF79))))),7)</f>
        <v>0</v>
      </c>
    </row>
    <row r="80" spans="2:62" ht="13.8" x14ac:dyDescent="0.25">
      <c r="R80" s="56" t="s">
        <v>10</v>
      </c>
      <c r="T80" s="13"/>
      <c r="U80" s="13"/>
      <c r="V80" s="7">
        <f>V69-V75-V85</f>
        <v>262.04545454545456</v>
      </c>
      <c r="W80" s="13" t="s">
        <v>3</v>
      </c>
      <c r="X80" s="7">
        <f>X69-X75-X85</f>
        <v>254.91690875454543</v>
      </c>
      <c r="Y80" s="13" t="s">
        <v>3</v>
      </c>
      <c r="Z80" s="7">
        <f>Z69-Z75-Z85</f>
        <v>259.45454545454544</v>
      </c>
      <c r="AA80" s="13" t="s">
        <v>3</v>
      </c>
      <c r="AB80" s="7">
        <f>AB69-AB75-AB85</f>
        <v>259.45454545454544</v>
      </c>
      <c r="AC80" s="13" t="s">
        <v>3</v>
      </c>
      <c r="AD80" s="7">
        <f>AD69-AD75-AD85</f>
        <v>259.45454545454544</v>
      </c>
      <c r="AE80" s="13" t="s">
        <v>3</v>
      </c>
      <c r="AF80" s="7">
        <f>AF69-AF75-AF85</f>
        <v>254.91690875454543</v>
      </c>
      <c r="AG80" s="12"/>
      <c r="AH80" s="12"/>
      <c r="AI80" s="22" t="str">
        <f t="shared" si="20"/>
        <v>Ni_Stoffgr. 2</v>
      </c>
      <c r="AJ80" s="13"/>
      <c r="AK80" s="21"/>
      <c r="AL80" s="8">
        <f>IFERROR(ROUND(V80,AZ80),"Prüfen!")</f>
        <v>262</v>
      </c>
      <c r="AM80" s="20"/>
      <c r="AN80" s="8">
        <f>IFERROR(ROUND(X80,BB80),"Prüfen!")</f>
        <v>255</v>
      </c>
      <c r="AO80" s="20"/>
      <c r="AP80" s="8">
        <f>IFERROR(ROUND(Z80,BD80),"Prüfen!")</f>
        <v>259</v>
      </c>
      <c r="AQ80" s="20"/>
      <c r="AR80" s="8">
        <f>IFERROR(ROUND(AB80,BF80),"Prüfen!")</f>
        <v>259</v>
      </c>
      <c r="AS80" s="20"/>
      <c r="AT80" s="8">
        <f>IFERROR(ROUND(AD80,BH80),"Prüfen!")</f>
        <v>259</v>
      </c>
      <c r="AU80" s="20"/>
      <c r="AV80" s="8">
        <f>IFERROR(ROUND(AF80,BJ80),"Prüfen!")</f>
        <v>255</v>
      </c>
      <c r="AW80" s="39"/>
      <c r="AX80" s="9"/>
      <c r="AY80" s="81"/>
      <c r="AZ80" s="1">
        <f>IFERROR(IF(AK80="&lt;",IF(V80&lt;0.01,$BF$3,IF(V80&lt;0.1,$BD$3,$BB$3))-(1+INT(LOG10(ABS(V80)))),IF(V80&lt;0.01,$BF$2,IF(V80&lt;0.1,$BD$2,$BB$2))-(1+INT(LOG10(ABS(V80))))),7)</f>
        <v>0</v>
      </c>
      <c r="BB80" s="1">
        <f>IFERROR(IF(AM80="&lt;",IF(X80&lt;0.01,$BF$3,IF(X80&lt;0.1,$BD$3,$BB$3))-(1+INT(LOG10(ABS(X80)))),IF(X80&lt;0.01,$BF$2,IF(X80&lt;0.1,$BD$2,$BB$2))-(1+INT(LOG10(ABS(X80))))),7)</f>
        <v>0</v>
      </c>
      <c r="BD80" s="1">
        <f>IFERROR(IF(AO80="&lt;",IF(Z80&lt;0.01,$BF$3,IF(Z80&lt;0.1,$BD$3,$BB$3))-(1+INT(LOG10(ABS(Z80)))),IF(Z80&lt;0.01,$BF$2,IF(Z80&lt;0.1,$BD$2,$BB$2))-(1+INT(LOG10(ABS(Z80))))),7)</f>
        <v>0</v>
      </c>
      <c r="BF80" s="1">
        <f>IFERROR(IF(AQ80="&lt;",IF(AB80&lt;0.01,$BF$3,IF(AB80&lt;0.1,$BD$3,$BB$3))-(1+INT(LOG10(ABS(AB80)))),IF(AB80&lt;0.01,$BF$2,IF(AB80&lt;0.1,$BD$2,$BB$2))-(1+INT(LOG10(ABS(AB80))))),7)</f>
        <v>0</v>
      </c>
      <c r="BH80" s="1">
        <f>IFERROR(IF(AS80="&lt;",IF(AD80&lt;0.01,$BF$3,IF(AD80&lt;0.1,$BD$3,$BB$3))-(1+INT(LOG10(ABS(AD80)))),IF(AD80&lt;0.01,$BF$2,IF(AD80&lt;0.1,$BD$2,$BB$2))-(1+INT(LOG10(ABS(AD80))))),7)</f>
        <v>0</v>
      </c>
      <c r="BJ80" s="1">
        <f>IFERROR(IF(AU80="&lt;",IF(AF80&lt;0.01,$BF$3,IF(AF80&lt;0.1,$BD$3,$BB$3))-(1+INT(LOG10(ABS(AF80)))),IF(AF80&lt;0.01,$BF$2,IF(AF80&lt;0.1,$BD$2,$BB$2))-(1+INT(LOG10(ABS(AF80))))),7)</f>
        <v>0</v>
      </c>
    </row>
    <row r="81" spans="18:62" ht="13.8" x14ac:dyDescent="0.25">
      <c r="R81" s="56" t="s">
        <v>9</v>
      </c>
      <c r="T81" s="13"/>
      <c r="U81" s="13"/>
      <c r="V81" s="7">
        <f>V70-V76-V86</f>
        <v>452.47727272727269</v>
      </c>
      <c r="W81" s="13" t="s">
        <v>3</v>
      </c>
      <c r="X81" s="7">
        <f>X70-X76-X86</f>
        <v>448.07272727272721</v>
      </c>
      <c r="Y81" s="13" t="s">
        <v>3</v>
      </c>
      <c r="Z81" s="7">
        <f>Z70-Z76-Z86</f>
        <v>443.5350905727272</v>
      </c>
      <c r="AA81" s="13" t="s">
        <v>3</v>
      </c>
      <c r="AB81" s="7">
        <f>AB70-AB76-AB86</f>
        <v>448.07272727272721</v>
      </c>
      <c r="AC81" s="13" t="s">
        <v>3</v>
      </c>
      <c r="AD81" s="7">
        <f>AD70-AD76-AD86</f>
        <v>448.07272727272721</v>
      </c>
      <c r="AE81" s="13" t="s">
        <v>3</v>
      </c>
      <c r="AF81" s="7">
        <f>AF70-AF76-AF86</f>
        <v>448.07272727272721</v>
      </c>
      <c r="AG81" s="12"/>
      <c r="AH81" s="12"/>
      <c r="AI81" s="22" t="str">
        <f t="shared" si="20"/>
        <v>Pb_Stoffgr. 2</v>
      </c>
      <c r="AJ81" s="13"/>
      <c r="AK81" s="21"/>
      <c r="AL81" s="8">
        <f>IFERROR(ROUND(V81,AZ81),"Prüfen!")</f>
        <v>452</v>
      </c>
      <c r="AM81" s="20"/>
      <c r="AN81" s="8">
        <f>IFERROR(ROUND(X81,BB81),"Prüfen!")</f>
        <v>448</v>
      </c>
      <c r="AO81" s="20"/>
      <c r="AP81" s="8">
        <f>IFERROR(ROUND(Z81,BD81),"Prüfen!")</f>
        <v>444</v>
      </c>
      <c r="AQ81" s="20"/>
      <c r="AR81" s="8">
        <f>IFERROR(ROUND(AB81,BF81),"Prüfen!")</f>
        <v>448</v>
      </c>
      <c r="AS81" s="20"/>
      <c r="AT81" s="8">
        <f>IFERROR(ROUND(AD81,BH81),"Prüfen!")</f>
        <v>448</v>
      </c>
      <c r="AU81" s="20"/>
      <c r="AV81" s="8">
        <f>IFERROR(ROUND(AF81,BJ81),"Prüfen!")</f>
        <v>448</v>
      </c>
      <c r="AW81" s="39"/>
      <c r="AX81" s="9"/>
      <c r="AY81" s="81"/>
      <c r="AZ81" s="1">
        <f>IFERROR(IF(AK81="&lt;",IF(V81&lt;0.01,$BF$3,IF(V81&lt;0.1,$BD$3,$BB$3))-(1+INT(LOG10(ABS(V81)))),IF(V81&lt;0.01,$BF$2,IF(V81&lt;0.1,$BD$2,$BB$2))-(1+INT(LOG10(ABS(V81))))),7)</f>
        <v>0</v>
      </c>
      <c r="BB81" s="1">
        <f>IFERROR(IF(AM81="&lt;",IF(X81&lt;0.01,$BF$3,IF(X81&lt;0.1,$BD$3,$BB$3))-(1+INT(LOG10(ABS(X81)))),IF(X81&lt;0.01,$BF$2,IF(X81&lt;0.1,$BD$2,$BB$2))-(1+INT(LOG10(ABS(X81))))),7)</f>
        <v>0</v>
      </c>
      <c r="BD81" s="1">
        <f>IFERROR(IF(AO81="&lt;",IF(Z81&lt;0.01,$BF$3,IF(Z81&lt;0.1,$BD$3,$BB$3))-(1+INT(LOG10(ABS(Z81)))),IF(Z81&lt;0.01,$BF$2,IF(Z81&lt;0.1,$BD$2,$BB$2))-(1+INT(LOG10(ABS(Z81))))),7)</f>
        <v>0</v>
      </c>
      <c r="BF81" s="1">
        <f>IFERROR(IF(AQ81="&lt;",IF(AB81&lt;0.01,$BF$3,IF(AB81&lt;0.1,$BD$3,$BB$3))-(1+INT(LOG10(ABS(AB81)))),IF(AB81&lt;0.01,$BF$2,IF(AB81&lt;0.1,$BD$2,$BB$2))-(1+INT(LOG10(ABS(AB81))))),7)</f>
        <v>0</v>
      </c>
      <c r="BH81" s="1">
        <f>IFERROR(IF(AS81="&lt;",IF(AD81&lt;0.01,$BF$3,IF(AD81&lt;0.1,$BD$3,$BB$3))-(1+INT(LOG10(ABS(AD81)))),IF(AD81&lt;0.01,$BF$2,IF(AD81&lt;0.1,$BD$2,$BB$2))-(1+INT(LOG10(ABS(AD81))))),7)</f>
        <v>0</v>
      </c>
      <c r="BJ81" s="1">
        <f>IFERROR(IF(AU81="&lt;",IF(AF81&lt;0.01,$BF$3,IF(AF81&lt;0.1,$BD$3,$BB$3))-(1+INT(LOG10(ABS(AF81)))),IF(AF81&lt;0.01,$BF$2,IF(AF81&lt;0.1,$BD$2,$BB$2))-(1+INT(LOG10(ABS(AF81))))),7)</f>
        <v>0</v>
      </c>
    </row>
    <row r="82" spans="18:62" ht="13.8" x14ac:dyDescent="0.25">
      <c r="R82" s="56" t="s">
        <v>8</v>
      </c>
      <c r="T82" s="30"/>
      <c r="U82" s="30"/>
      <c r="V82" s="7">
        <f>V71-V77-V87</f>
        <v>556.76136363636363</v>
      </c>
      <c r="W82" s="30" t="s">
        <v>3</v>
      </c>
      <c r="X82" s="7">
        <f>X71-X77-X87</f>
        <v>551.36363636363637</v>
      </c>
      <c r="Y82" s="30" t="s">
        <v>3</v>
      </c>
      <c r="Z82" s="7">
        <f>Z71-Z77-Z87</f>
        <v>551.36363636363637</v>
      </c>
      <c r="AA82" s="30" t="s">
        <v>3</v>
      </c>
      <c r="AB82" s="7">
        <f>AB71-AB77-AB87</f>
        <v>546.82599966363637</v>
      </c>
      <c r="AC82" s="30" t="s">
        <v>3</v>
      </c>
      <c r="AD82" s="7">
        <f>AD71-AD77-AD87</f>
        <v>551.36363636363637</v>
      </c>
      <c r="AE82" s="30" t="s">
        <v>3</v>
      </c>
      <c r="AF82" s="7">
        <f>AF71-AF77-AF87</f>
        <v>551.36363636363637</v>
      </c>
      <c r="AG82" s="12"/>
      <c r="AH82" s="12"/>
      <c r="AI82" s="22" t="str">
        <f t="shared" si="20"/>
        <v>Zn_Stoffgr. 2</v>
      </c>
      <c r="AJ82" s="30"/>
      <c r="AK82" s="21"/>
      <c r="AL82" s="8">
        <f>IFERROR(ROUND(V82,AZ82),"Prüfen!")</f>
        <v>557</v>
      </c>
      <c r="AM82" s="20"/>
      <c r="AN82" s="8">
        <f>IFERROR(ROUND(X82,BB82),"Prüfen!")</f>
        <v>551</v>
      </c>
      <c r="AO82" s="20"/>
      <c r="AP82" s="8">
        <f>IFERROR(ROUND(Z82,BD82),"Prüfen!")</f>
        <v>551</v>
      </c>
      <c r="AQ82" s="20"/>
      <c r="AR82" s="8">
        <f>IFERROR(ROUND(AB82,BF82),"Prüfen!")</f>
        <v>547</v>
      </c>
      <c r="AS82" s="20"/>
      <c r="AT82" s="8">
        <f>IFERROR(ROUND(AD82,BH82),"Prüfen!")</f>
        <v>551</v>
      </c>
      <c r="AU82" s="20"/>
      <c r="AV82" s="8">
        <f>IFERROR(ROUND(AF82,BJ82),"Prüfen!")</f>
        <v>551</v>
      </c>
      <c r="AW82" s="39"/>
      <c r="AX82" s="9"/>
      <c r="AY82" s="81"/>
      <c r="AZ82" s="1">
        <f>IFERROR(IF(AK82="&lt;",IF(V82&lt;0.01,$BF$3,IF(V82&lt;0.1,$BD$3,$BB$3))-(1+INT(LOG10(ABS(V82)))),IF(V82&lt;0.01,$BF$2,IF(V82&lt;0.1,$BD$2,$BB$2))-(1+INT(LOG10(ABS(V82))))),7)</f>
        <v>0</v>
      </c>
      <c r="BB82" s="1">
        <f>IFERROR(IF(AM82="&lt;",IF(X82&lt;0.01,$BF$3,IF(X82&lt;0.1,$BD$3,$BB$3))-(1+INT(LOG10(ABS(X82)))),IF(X82&lt;0.01,$BF$2,IF(X82&lt;0.1,$BD$2,$BB$2))-(1+INT(LOG10(ABS(X82))))),7)</f>
        <v>0</v>
      </c>
      <c r="BD82" s="1">
        <f>IFERROR(IF(AO82="&lt;",IF(Z82&lt;0.01,$BF$3,IF(Z82&lt;0.1,$BD$3,$BB$3))-(1+INT(LOG10(ABS(Z82)))),IF(Z82&lt;0.01,$BF$2,IF(Z82&lt;0.1,$BD$2,$BB$2))-(1+INT(LOG10(ABS(Z82))))),7)</f>
        <v>0</v>
      </c>
      <c r="BF82" s="1">
        <f>IFERROR(IF(AQ82="&lt;",IF(AB82&lt;0.01,$BF$3,IF(AB82&lt;0.1,$BD$3,$BB$3))-(1+INT(LOG10(ABS(AB82)))),IF(AB82&lt;0.01,$BF$2,IF(AB82&lt;0.1,$BD$2,$BB$2))-(1+INT(LOG10(ABS(AB82))))),7)</f>
        <v>0</v>
      </c>
      <c r="BH82" s="1">
        <f>IFERROR(IF(AS82="&lt;",IF(AD82&lt;0.01,$BF$3,IF(AD82&lt;0.1,$BD$3,$BB$3))-(1+INT(LOG10(ABS(AD82)))),IF(AD82&lt;0.01,$BF$2,IF(AD82&lt;0.1,$BD$2,$BB$2))-(1+INT(LOG10(ABS(AD82))))),7)</f>
        <v>0</v>
      </c>
      <c r="BJ82" s="1">
        <f>IFERROR(IF(AU82="&lt;",IF(AF82&lt;0.01,$BF$3,IF(AF82&lt;0.1,$BD$3,$BB$3))-(1+INT(LOG10(ABS(AF82)))),IF(AF82&lt;0.01,$BF$2,IF(AF82&lt;0.1,$BD$2,$BB$2))-(1+INT(LOG10(ABS(AF82))))),7)</f>
        <v>0</v>
      </c>
    </row>
    <row r="83" spans="18:62" ht="13.8" x14ac:dyDescent="0.25">
      <c r="R83" s="71" t="s">
        <v>209</v>
      </c>
      <c r="T83" s="13"/>
      <c r="U83" s="13"/>
      <c r="V83" s="28"/>
      <c r="W83" s="13"/>
      <c r="X83" s="28"/>
      <c r="Y83" s="13"/>
      <c r="Z83" s="28"/>
      <c r="AA83" s="13"/>
      <c r="AB83" s="28"/>
      <c r="AC83" s="13"/>
      <c r="AD83" s="28"/>
      <c r="AE83" s="13"/>
      <c r="AF83" s="28"/>
      <c r="AG83" s="27"/>
      <c r="AH83" s="27"/>
      <c r="AI83" s="29" t="str">
        <f t="shared" si="20"/>
        <v>Stoffgr. 3, Messwert  (Eluat)</v>
      </c>
      <c r="AJ83" s="13"/>
      <c r="AK83" s="13"/>
      <c r="AL83" s="13"/>
      <c r="AM83" s="13"/>
      <c r="AN83" s="13"/>
      <c r="AO83" s="13"/>
      <c r="AP83" s="13"/>
      <c r="AQ83" s="13"/>
      <c r="AR83" s="13"/>
      <c r="AS83" s="13"/>
      <c r="AT83" s="13"/>
      <c r="AU83" s="13"/>
      <c r="AV83" s="13"/>
      <c r="AW83" s="39"/>
      <c r="AX83" s="9"/>
      <c r="AY83" s="81"/>
      <c r="BB83" s="1"/>
      <c r="BD83" s="1"/>
      <c r="BF83" s="1"/>
      <c r="BH83" s="1"/>
      <c r="BJ83" s="1"/>
    </row>
    <row r="84" spans="18:62" x14ac:dyDescent="0.25">
      <c r="R84" s="56" t="s">
        <v>7</v>
      </c>
      <c r="T84" s="25"/>
      <c r="U84" s="25"/>
      <c r="V84" s="7">
        <f>V52*10</f>
        <v>14.5376367</v>
      </c>
      <c r="W84" s="25" t="s">
        <v>3</v>
      </c>
      <c r="X84" s="7">
        <f>X52*10</f>
        <v>10</v>
      </c>
      <c r="Y84" s="25" t="s">
        <v>3</v>
      </c>
      <c r="Z84" s="7">
        <f>Z52*10</f>
        <v>10</v>
      </c>
      <c r="AA84" s="25" t="s">
        <v>3</v>
      </c>
      <c r="AB84" s="7">
        <f>AB52*10</f>
        <v>10</v>
      </c>
      <c r="AC84" s="25" t="s">
        <v>3</v>
      </c>
      <c r="AD84" s="7">
        <f>AD52*10</f>
        <v>14.5376367</v>
      </c>
      <c r="AE84" s="25" t="s">
        <v>3</v>
      </c>
      <c r="AF84" s="7">
        <f>AF52*10</f>
        <v>10</v>
      </c>
      <c r="AG84" s="26"/>
      <c r="AH84" s="26"/>
      <c r="AI84" s="22" t="s">
        <v>7</v>
      </c>
      <c r="AJ84" s="25"/>
      <c r="AK84" s="21"/>
      <c r="AL84" s="20">
        <f>IFERROR(ROUND(V84,AZ84),"Prüfen!")</f>
        <v>14.5</v>
      </c>
      <c r="AM84" s="20"/>
      <c r="AN84" s="20">
        <f>IFERROR(ROUND(X84,BB84),"Prüfen!")</f>
        <v>10</v>
      </c>
      <c r="AO84" s="20"/>
      <c r="AP84" s="20">
        <f>IFERROR(ROUND(Z84,BD84),"Prüfen!")</f>
        <v>10</v>
      </c>
      <c r="AQ84" s="20"/>
      <c r="AR84" s="20">
        <f>IFERROR(ROUND(AB84,BF84),"Prüfen!")</f>
        <v>10</v>
      </c>
      <c r="AS84" s="20"/>
      <c r="AT84" s="20">
        <f>IFERROR(ROUND(AD84,BH84),"Prüfen!")</f>
        <v>14.5</v>
      </c>
      <c r="AU84" s="20"/>
      <c r="AV84" s="20">
        <f>IFERROR(ROUND(AF84,BJ84),"Prüfen!")</f>
        <v>10</v>
      </c>
      <c r="AW84" s="281"/>
      <c r="AX84" s="25"/>
      <c r="AY84" s="81"/>
      <c r="AZ84" s="1">
        <f>IFERROR(IF(AK84="&lt;",IF(V84&lt;0.01,$BF$3,IF(V84&lt;0.1,$BD$3,$BB$3))-(1+INT(LOG10(ABS(V84)))),IF(V84&lt;0.01,$BF$2,IF(V84&lt;0.1,$BD$2,$BB$2))-(1+INT(LOG10(ABS(V84))))),7)</f>
        <v>1</v>
      </c>
      <c r="BB84" s="1">
        <f>IFERROR(IF(AM84="&lt;",IF(X84&lt;0.01,$BF$3,IF(X84&lt;0.1,$BD$3,$BB$3))-(1+INT(LOG10(ABS(X84)))),IF(X84&lt;0.01,$BF$2,IF(X84&lt;0.1,$BD$2,$BB$2))-(1+INT(LOG10(ABS(X84))))),7)</f>
        <v>1</v>
      </c>
      <c r="BD84" s="1">
        <f>IFERROR(IF(AO84="&lt;",IF(Z84&lt;0.01,$BF$3,IF(Z84&lt;0.1,$BD$3,$BB$3))-(1+INT(LOG10(ABS(Z84)))),IF(Z84&lt;0.01,$BF$2,IF(Z84&lt;0.1,$BD$2,$BB$2))-(1+INT(LOG10(ABS(Z84))))),7)</f>
        <v>1</v>
      </c>
      <c r="BF84" s="1">
        <f>IFERROR(IF(AQ84="&lt;",IF(AB84&lt;0.01,$BF$3,IF(AB84&lt;0.1,$BD$3,$BB$3))-(1+INT(LOG10(ABS(AB84)))),IF(AB84&lt;0.01,$BF$2,IF(AB84&lt;0.1,$BD$2,$BB$2))-(1+INT(LOG10(ABS(AB84))))),7)</f>
        <v>1</v>
      </c>
      <c r="BH84" s="1">
        <f>IFERROR(IF(AS84="&lt;",IF(AD84&lt;0.01,$BF$3,IF(AD84&lt;0.1,$BD$3,$BB$3))-(1+INT(LOG10(ABS(AD84)))),IF(AD84&lt;0.01,$BF$2,IF(AD84&lt;0.1,$BD$2,$BB$2))-(1+INT(LOG10(ABS(AD84))))),7)</f>
        <v>1</v>
      </c>
      <c r="BJ84" s="1">
        <f>IFERROR(IF(AU84="&lt;",IF(AF84&lt;0.01,$BF$3,IF(AF84&lt;0.1,$BD$3,$BB$3))-(1+INT(LOG10(ABS(AF84)))),IF(AF84&lt;0.01,$BF$2,IF(AF84&lt;0.1,$BD$2,$BB$2))-(1+INT(LOG10(ABS(AF84))))),7)</f>
        <v>1</v>
      </c>
    </row>
    <row r="85" spans="18:62" ht="13.8" x14ac:dyDescent="0.25">
      <c r="R85" s="56" t="s">
        <v>6</v>
      </c>
      <c r="U85" s="13"/>
      <c r="V85" s="7">
        <f t="shared" ref="V85:X87" si="21">V53*10</f>
        <v>10</v>
      </c>
      <c r="W85" s="13" t="s">
        <v>3</v>
      </c>
      <c r="X85" s="7">
        <f t="shared" si="21"/>
        <v>14.5376367</v>
      </c>
      <c r="Y85" s="13" t="s">
        <v>3</v>
      </c>
      <c r="Z85" s="7">
        <f t="shared" ref="Z85" si="22">Z53*10</f>
        <v>10</v>
      </c>
      <c r="AA85" s="13" t="s">
        <v>3</v>
      </c>
      <c r="AB85" s="7">
        <f t="shared" ref="AB85" si="23">AB53*10</f>
        <v>10</v>
      </c>
      <c r="AC85" s="13" t="s">
        <v>3</v>
      </c>
      <c r="AD85" s="7">
        <f t="shared" ref="AD85" si="24">AD53*10</f>
        <v>10</v>
      </c>
      <c r="AE85" s="13" t="s">
        <v>3</v>
      </c>
      <c r="AF85" s="7">
        <f t="shared" ref="AF85" si="25">AF53*10</f>
        <v>14.5376367</v>
      </c>
      <c r="AG85" s="24"/>
      <c r="AH85" s="24"/>
      <c r="AI85" s="22" t="s">
        <v>6</v>
      </c>
      <c r="AK85" s="21"/>
      <c r="AL85" s="20">
        <f>IFERROR(ROUND(V85,AZ85),"Prüfen!")</f>
        <v>10</v>
      </c>
      <c r="AM85" s="20"/>
      <c r="AN85" s="20">
        <f>IFERROR(ROUND(X85,BB85),"Prüfen!")</f>
        <v>14.5</v>
      </c>
      <c r="AO85" s="20"/>
      <c r="AP85" s="20">
        <f>IFERROR(ROUND(Z85,BD85),"Prüfen!")</f>
        <v>10</v>
      </c>
      <c r="AQ85" s="20"/>
      <c r="AR85" s="20">
        <f>IFERROR(ROUND(AB85,BF85),"Prüfen!")</f>
        <v>10</v>
      </c>
      <c r="AS85" s="20"/>
      <c r="AT85" s="20">
        <f>IFERROR(ROUND(AD85,BH85),"Prüfen!")</f>
        <v>10</v>
      </c>
      <c r="AU85" s="20"/>
      <c r="AV85" s="20">
        <f>IFERROR(ROUND(AF85,BJ85),"Prüfen!")</f>
        <v>14.5</v>
      </c>
      <c r="AW85" s="44"/>
      <c r="AY85" s="81"/>
      <c r="AZ85" s="1">
        <f>IFERROR(IF(AK85="&lt;",IF(V85&lt;0.01,$BF$3,IF(V85&lt;0.1,$BD$3,$BB$3))-(1+INT(LOG10(ABS(V85)))),IF(V85&lt;0.01,$BF$2,IF(V85&lt;0.1,$BD$2,$BB$2))-(1+INT(LOG10(ABS(V85))))),7)</f>
        <v>1</v>
      </c>
      <c r="BB85" s="1">
        <f>IFERROR(IF(AM85="&lt;",IF(X85&lt;0.01,$BF$3,IF(X85&lt;0.1,$BD$3,$BB$3))-(1+INT(LOG10(ABS(X85)))),IF(X85&lt;0.01,$BF$2,IF(X85&lt;0.1,$BD$2,$BB$2))-(1+INT(LOG10(ABS(X85))))),7)</f>
        <v>1</v>
      </c>
      <c r="BD85" s="1">
        <f>IFERROR(IF(AO85="&lt;",IF(Z85&lt;0.01,$BF$3,IF(Z85&lt;0.1,$BD$3,$BB$3))-(1+INT(LOG10(ABS(Z85)))),IF(Z85&lt;0.01,$BF$2,IF(Z85&lt;0.1,$BD$2,$BB$2))-(1+INT(LOG10(ABS(Z85))))),7)</f>
        <v>1</v>
      </c>
      <c r="BF85" s="1">
        <f>IFERROR(IF(AQ85="&lt;",IF(AB85&lt;0.01,$BF$3,IF(AB85&lt;0.1,$BD$3,$BB$3))-(1+INT(LOG10(ABS(AB85)))),IF(AB85&lt;0.01,$BF$2,IF(AB85&lt;0.1,$BD$2,$BB$2))-(1+INT(LOG10(ABS(AB85))))),7)</f>
        <v>1</v>
      </c>
      <c r="BH85" s="1">
        <f>IFERROR(IF(AS85="&lt;",IF(AD85&lt;0.01,$BF$3,IF(AD85&lt;0.1,$BD$3,$BB$3))-(1+INT(LOG10(ABS(AD85)))),IF(AD85&lt;0.01,$BF$2,IF(AD85&lt;0.1,$BD$2,$BB$2))-(1+INT(LOG10(ABS(AD85))))),7)</f>
        <v>1</v>
      </c>
      <c r="BJ85" s="1">
        <f>IFERROR(IF(AU85="&lt;",IF(AF85&lt;0.01,$BF$3,IF(AF85&lt;0.1,$BD$3,$BB$3))-(1+INT(LOG10(ABS(AF85)))),IF(AF85&lt;0.01,$BF$2,IF(AF85&lt;0.1,$BD$2,$BB$2))-(1+INT(LOG10(ABS(AF85))))),7)</f>
        <v>1</v>
      </c>
    </row>
    <row r="86" spans="18:62" ht="13.8" x14ac:dyDescent="0.25">
      <c r="R86" s="56" t="s">
        <v>5</v>
      </c>
      <c r="T86" s="23"/>
      <c r="U86" s="23"/>
      <c r="V86" s="7">
        <f t="shared" si="21"/>
        <v>10</v>
      </c>
      <c r="W86" s="23" t="s">
        <v>3</v>
      </c>
      <c r="X86" s="7">
        <f t="shared" si="21"/>
        <v>10</v>
      </c>
      <c r="Y86" s="23" t="s">
        <v>3</v>
      </c>
      <c r="Z86" s="7">
        <f t="shared" ref="Z86" si="26">Z54*10</f>
        <v>14.5376367</v>
      </c>
      <c r="AA86" s="23" t="s">
        <v>3</v>
      </c>
      <c r="AB86" s="7">
        <f t="shared" ref="AB86" si="27">AB54*10</f>
        <v>10</v>
      </c>
      <c r="AC86" s="23" t="s">
        <v>3</v>
      </c>
      <c r="AD86" s="7">
        <f t="shared" ref="AD86" si="28">AD54*10</f>
        <v>10</v>
      </c>
      <c r="AE86" s="23" t="s">
        <v>3</v>
      </c>
      <c r="AF86" s="7">
        <f t="shared" ref="AF86" si="29">AF54*10</f>
        <v>10</v>
      </c>
      <c r="AG86" s="12"/>
      <c r="AH86" s="12"/>
      <c r="AI86" s="22" t="s">
        <v>5</v>
      </c>
      <c r="AJ86" s="23"/>
      <c r="AK86" s="21"/>
      <c r="AL86" s="20">
        <f>IFERROR(ROUND(V86,AZ86),"Prüfen!")</f>
        <v>10</v>
      </c>
      <c r="AM86" s="20"/>
      <c r="AN86" s="20">
        <f>IFERROR(ROUND(X86,BB86),"Prüfen!")</f>
        <v>10</v>
      </c>
      <c r="AO86" s="20"/>
      <c r="AP86" s="20">
        <f>IFERROR(ROUND(Z86,BD86),"Prüfen!")</f>
        <v>14.5</v>
      </c>
      <c r="AQ86" s="20"/>
      <c r="AR86" s="20">
        <f>IFERROR(ROUND(AB86,BF86),"Prüfen!")</f>
        <v>10</v>
      </c>
      <c r="AS86" s="20"/>
      <c r="AT86" s="20">
        <f>IFERROR(ROUND(AD86,BH86),"Prüfen!")</f>
        <v>10</v>
      </c>
      <c r="AU86" s="20"/>
      <c r="AV86" s="20">
        <f>IFERROR(ROUND(AF86,BJ86),"Prüfen!")</f>
        <v>10</v>
      </c>
      <c r="AW86" s="282"/>
      <c r="AX86" s="23"/>
      <c r="AY86" s="81"/>
      <c r="AZ86" s="1">
        <f>IFERROR(IF(AK86="&lt;",IF(V86&lt;0.01,$BF$3,IF(V86&lt;0.1,$BD$3,$BB$3))-(1+INT(LOG10(ABS(V86)))),IF(V86&lt;0.01,$BF$2,IF(V86&lt;0.1,$BD$2,$BB$2))-(1+INT(LOG10(ABS(V86))))),7)</f>
        <v>1</v>
      </c>
      <c r="BB86" s="1">
        <f>IFERROR(IF(AM86="&lt;",IF(X86&lt;0.01,$BF$3,IF(X86&lt;0.1,$BD$3,$BB$3))-(1+INT(LOG10(ABS(X86)))),IF(X86&lt;0.01,$BF$2,IF(X86&lt;0.1,$BD$2,$BB$2))-(1+INT(LOG10(ABS(X86))))),7)</f>
        <v>1</v>
      </c>
      <c r="BD86" s="1">
        <f>IFERROR(IF(AO86="&lt;",IF(Z86&lt;0.01,$BF$3,IF(Z86&lt;0.1,$BD$3,$BB$3))-(1+INT(LOG10(ABS(Z86)))),IF(Z86&lt;0.01,$BF$2,IF(Z86&lt;0.1,$BD$2,$BB$2))-(1+INT(LOG10(ABS(Z86))))),7)</f>
        <v>1</v>
      </c>
      <c r="BF86" s="1">
        <f>IFERROR(IF(AQ86="&lt;",IF(AB86&lt;0.01,$BF$3,IF(AB86&lt;0.1,$BD$3,$BB$3))-(1+INT(LOG10(ABS(AB86)))),IF(AB86&lt;0.01,$BF$2,IF(AB86&lt;0.1,$BD$2,$BB$2))-(1+INT(LOG10(ABS(AB86))))),7)</f>
        <v>1</v>
      </c>
      <c r="BH86" s="1">
        <f>IFERROR(IF(AS86="&lt;",IF(AD86&lt;0.01,$BF$3,IF(AD86&lt;0.1,$BD$3,$BB$3))-(1+INT(LOG10(ABS(AD86)))),IF(AD86&lt;0.01,$BF$2,IF(AD86&lt;0.1,$BD$2,$BB$2))-(1+INT(LOG10(ABS(AD86))))),7)</f>
        <v>1</v>
      </c>
      <c r="BJ86" s="1">
        <f>IFERROR(IF(AU86="&lt;",IF(AF86&lt;0.01,$BF$3,IF(AF86&lt;0.1,$BD$3,$BB$3))-(1+INT(LOG10(ABS(AF86)))),IF(AF86&lt;0.01,$BF$2,IF(AF86&lt;0.1,$BD$2,$BB$2))-(1+INT(LOG10(ABS(AF86))))),7)</f>
        <v>1</v>
      </c>
    </row>
    <row r="87" spans="18:62" x14ac:dyDescent="0.25">
      <c r="R87" s="56" t="s">
        <v>4</v>
      </c>
      <c r="T87" s="4"/>
      <c r="U87" s="4"/>
      <c r="V87" s="7">
        <f t="shared" si="21"/>
        <v>10</v>
      </c>
      <c r="W87" s="4" t="s">
        <v>3</v>
      </c>
      <c r="X87" s="7">
        <f t="shared" si="21"/>
        <v>10</v>
      </c>
      <c r="Y87" s="4" t="s">
        <v>3</v>
      </c>
      <c r="Z87" s="7">
        <f t="shared" ref="Z87" si="30">Z55*10</f>
        <v>10</v>
      </c>
      <c r="AA87" s="4" t="s">
        <v>3</v>
      </c>
      <c r="AB87" s="7">
        <f t="shared" ref="AB87" si="31">AB55*10</f>
        <v>14.5376367</v>
      </c>
      <c r="AC87" s="4" t="s">
        <v>3</v>
      </c>
      <c r="AD87" s="7">
        <f t="shared" ref="AD87" si="32">AD55*10</f>
        <v>10</v>
      </c>
      <c r="AE87" s="4" t="s">
        <v>3</v>
      </c>
      <c r="AF87" s="7">
        <f t="shared" ref="AF87" si="33">AF55*10</f>
        <v>10</v>
      </c>
      <c r="AI87" s="22" t="s">
        <v>4</v>
      </c>
      <c r="AJ87" s="4"/>
      <c r="AK87" s="21"/>
      <c r="AL87" s="20">
        <f>IFERROR(ROUND(V87,AZ87),"Prüfen!")</f>
        <v>10</v>
      </c>
      <c r="AM87" s="20"/>
      <c r="AN87" s="20">
        <f>IFERROR(ROUND(X87,BB87),"Prüfen!")</f>
        <v>10</v>
      </c>
      <c r="AO87" s="20"/>
      <c r="AP87" s="20">
        <f>IFERROR(ROUND(Z87,BD87),"Prüfen!")</f>
        <v>10</v>
      </c>
      <c r="AQ87" s="20"/>
      <c r="AR87" s="20">
        <f>IFERROR(ROUND(AB87,BF87),"Prüfen!")</f>
        <v>14.5</v>
      </c>
      <c r="AS87" s="20"/>
      <c r="AT87" s="20">
        <f>IFERROR(ROUND(AD87,BH87),"Prüfen!")</f>
        <v>10</v>
      </c>
      <c r="AU87" s="20"/>
      <c r="AV87" s="20">
        <f>IFERROR(ROUND(AF87,BJ87),"Prüfen!")</f>
        <v>10</v>
      </c>
      <c r="AW87" s="44"/>
      <c r="AY87" s="81"/>
      <c r="AZ87" s="1">
        <f>IFERROR(IF(AK87="&lt;",IF(V87&lt;0.01,$BF$3,IF(V87&lt;0.1,$BD$3,$BB$3))-(1+INT(LOG10(ABS(V87)))),IF(V87&lt;0.01,$BF$2,IF(V87&lt;0.1,$BD$2,$BB$2))-(1+INT(LOG10(ABS(V87))))),7)</f>
        <v>1</v>
      </c>
      <c r="BB87" s="1">
        <f>IFERROR(IF(AM87="&lt;",IF(X87&lt;0.01,$BF$3,IF(X87&lt;0.1,$BD$3,$BB$3))-(1+INT(LOG10(ABS(X87)))),IF(X87&lt;0.01,$BF$2,IF(X87&lt;0.1,$BD$2,$BB$2))-(1+INT(LOG10(ABS(X87))))),7)</f>
        <v>1</v>
      </c>
      <c r="BD87" s="1">
        <f>IFERROR(IF(AO87="&lt;",IF(Z87&lt;0.01,$BF$3,IF(Z87&lt;0.1,$BD$3,$BB$3))-(1+INT(LOG10(ABS(Z87)))),IF(Z87&lt;0.01,$BF$2,IF(Z87&lt;0.1,$BD$2,$BB$2))-(1+INT(LOG10(ABS(Z87))))),7)</f>
        <v>1</v>
      </c>
      <c r="BF87" s="1">
        <f>IFERROR(IF(AQ87="&lt;",IF(AB87&lt;0.01,$BF$3,IF(AB87&lt;0.1,$BD$3,$BB$3))-(1+INT(LOG10(ABS(AB87)))),IF(AB87&lt;0.01,$BF$2,IF(AB87&lt;0.1,$BD$2,$BB$2))-(1+INT(LOG10(ABS(AB87))))),7)</f>
        <v>1</v>
      </c>
      <c r="BH87" s="1">
        <f>IFERROR(IF(AS87="&lt;",IF(AD87&lt;0.01,$BF$3,IF(AD87&lt;0.1,$BD$3,$BB$3))-(1+INT(LOG10(ABS(AD87)))),IF(AD87&lt;0.01,$BF$2,IF(AD87&lt;0.1,$BD$2,$BB$2))-(1+INT(LOG10(ABS(AD87))))),7)</f>
        <v>1</v>
      </c>
      <c r="BJ87" s="1">
        <f>IFERROR(IF(AU87="&lt;",IF(AF87&lt;0.01,$BF$3,IF(AF87&lt;0.1,$BD$3,$BB$3))-(1+INT(LOG10(ABS(AF87)))),IF(AF87&lt;0.01,$BF$2,IF(AF87&lt;0.1,$BD$2,$BB$2))-(1+INT(LOG10(ABS(AF87))))),7)</f>
        <v>1</v>
      </c>
    </row>
    <row r="88" spans="18:62" x14ac:dyDescent="0.25">
      <c r="R88" s="19"/>
      <c r="S88" s="17"/>
      <c r="T88" s="17"/>
      <c r="U88" s="17"/>
      <c r="V88" s="19"/>
      <c r="W88" s="19"/>
      <c r="X88" s="19"/>
      <c r="Y88" s="19"/>
      <c r="Z88" s="19"/>
      <c r="AA88" s="19"/>
      <c r="AB88" s="19"/>
      <c r="AC88" s="19"/>
      <c r="AD88" s="19"/>
      <c r="AE88" s="19"/>
      <c r="AF88" s="19"/>
      <c r="AG88" s="19"/>
      <c r="AH88" s="19"/>
      <c r="AI88" s="284"/>
      <c r="AJ88" s="285"/>
      <c r="AK88" s="285"/>
      <c r="AL88" s="285"/>
      <c r="AM88" s="285"/>
      <c r="AN88" s="285"/>
      <c r="AO88" s="285"/>
      <c r="AP88" s="285"/>
      <c r="AQ88" s="285"/>
      <c r="AR88" s="285"/>
      <c r="AS88" s="285"/>
      <c r="AT88" s="285"/>
      <c r="AU88" s="285"/>
      <c r="AV88" s="285"/>
      <c r="AW88" s="286"/>
      <c r="AX88" s="17"/>
      <c r="AY88" s="81"/>
    </row>
    <row r="89" spans="18:62" x14ac:dyDescent="0.25">
      <c r="S89" s="17"/>
      <c r="T89" s="17"/>
      <c r="U89" s="17"/>
      <c r="AI89" s="18"/>
      <c r="AJ89" s="17"/>
      <c r="AK89" s="17"/>
      <c r="AU89" s="17"/>
      <c r="AW89" s="17"/>
      <c r="AX89" s="17"/>
    </row>
    <row r="90" spans="18:62" x14ac:dyDescent="0.25">
      <c r="V90" s="16"/>
      <c r="X90" s="16"/>
      <c r="Z90" s="16"/>
      <c r="AB90" s="16"/>
      <c r="AD90" s="16"/>
      <c r="AF90" s="16"/>
      <c r="AI90" s="2" t="s">
        <v>2</v>
      </c>
      <c r="AL90" s="14">
        <f>IFERROR(AL74/AL68,"-")</f>
        <v>0.7009803921568627</v>
      </c>
      <c r="AM90" s="15"/>
      <c r="AN90" s="276">
        <f>IFERROR(AN74/AN68,"-")</f>
        <v>0.70049504950495045</v>
      </c>
      <c r="AO90" s="276"/>
      <c r="AP90" s="276">
        <f>IFERROR(AP74/AP68,"-")</f>
        <v>0.70049504950495045</v>
      </c>
      <c r="AQ90" s="276"/>
      <c r="AR90" s="276">
        <f>IFERROR(AR74/AR68,"-")</f>
        <v>0.70049504950495045</v>
      </c>
      <c r="AS90" s="276"/>
      <c r="AT90" s="276">
        <f>IFERROR(AT74/AT68,"-")</f>
        <v>0.70049504950495045</v>
      </c>
      <c r="AU90" s="277"/>
      <c r="AV90" s="276">
        <f>IFERROR(AV74/AV68,"-")</f>
        <v>0.70049504950495045</v>
      </c>
    </row>
    <row r="91" spans="18:62" x14ac:dyDescent="0.25">
      <c r="V91" s="16"/>
      <c r="X91" s="16"/>
      <c r="Z91" s="16"/>
      <c r="AB91" s="16"/>
      <c r="AD91" s="16"/>
      <c r="AF91" s="16"/>
      <c r="AI91" s="22" t="s">
        <v>33</v>
      </c>
      <c r="AL91" s="14">
        <f>IFERROR(AL75/AL69,"-")</f>
        <v>0.6</v>
      </c>
      <c r="AM91" s="15"/>
      <c r="AN91" s="276">
        <f>IFERROR(AN75/AN69,"-")</f>
        <v>0.59940652818991103</v>
      </c>
      <c r="AO91" s="276"/>
      <c r="AP91" s="276">
        <f>IFERROR(AP75/AP69,"-")</f>
        <v>0.59940652818991103</v>
      </c>
      <c r="AQ91" s="276"/>
      <c r="AR91" s="276">
        <f>IFERROR(AR75/AR69,"-")</f>
        <v>0.59940652818991103</v>
      </c>
      <c r="AS91" s="276"/>
      <c r="AT91" s="276">
        <f>IFERROR(AT75/AT69,"-")</f>
        <v>0.59940652818991103</v>
      </c>
      <c r="AU91" s="277"/>
      <c r="AV91" s="276">
        <f>IFERROR(AV75/AV69,"-")</f>
        <v>0.59940652818991103</v>
      </c>
    </row>
    <row r="92" spans="18:62" ht="13.8" x14ac:dyDescent="0.25">
      <c r="R92" s="12"/>
      <c r="V92" s="16"/>
      <c r="W92" s="12"/>
      <c r="X92" s="16"/>
      <c r="Y92" s="12"/>
      <c r="Z92" s="16"/>
      <c r="AA92" s="12"/>
      <c r="AB92" s="16"/>
      <c r="AC92" s="12"/>
      <c r="AD92" s="16"/>
      <c r="AE92" s="12"/>
      <c r="AF92" s="16"/>
      <c r="AG92" s="12"/>
      <c r="AH92" s="12"/>
      <c r="AI92" s="22" t="s">
        <v>32</v>
      </c>
      <c r="AL92" s="14">
        <f>IFERROR(AL76/AL70,"-")</f>
        <v>0.39948119325551235</v>
      </c>
      <c r="AM92" s="15"/>
      <c r="AN92" s="276">
        <f>IFERROR(AN76/AN70,"-")</f>
        <v>0.39973787680209699</v>
      </c>
      <c r="AO92" s="276"/>
      <c r="AP92" s="276">
        <f>IFERROR(AP76/AP70,"-")</f>
        <v>0.39973787680209699</v>
      </c>
      <c r="AQ92" s="276"/>
      <c r="AR92" s="276">
        <f>IFERROR(AR76/AR70,"-")</f>
        <v>0.39973787680209699</v>
      </c>
      <c r="AS92" s="276"/>
      <c r="AT92" s="276">
        <f>IFERROR(AT76/AT70,"-")</f>
        <v>0.39973787680209699</v>
      </c>
      <c r="AU92" s="277"/>
      <c r="AV92" s="276">
        <f>IFERROR(AV76/AV70,"-")</f>
        <v>0.39973787680209699</v>
      </c>
    </row>
    <row r="93" spans="18:62" x14ac:dyDescent="0.25">
      <c r="V93" s="16"/>
      <c r="X93" s="16"/>
      <c r="Z93" s="16"/>
      <c r="AB93" s="16"/>
      <c r="AD93" s="16"/>
      <c r="AF93" s="16"/>
      <c r="AI93" s="22" t="s">
        <v>31</v>
      </c>
      <c r="AL93" s="14">
        <f>IFERROR(AL77/AL71,"-")</f>
        <v>0.50176991150442474</v>
      </c>
      <c r="AM93" s="15"/>
      <c r="AN93" s="276">
        <f>IFERROR(AN77/AN71,"-")</f>
        <v>0.50089285714285714</v>
      </c>
      <c r="AO93" s="276"/>
      <c r="AP93" s="276">
        <f>IFERROR(AP77/AP71,"-")</f>
        <v>0.50089285714285714</v>
      </c>
      <c r="AQ93" s="276"/>
      <c r="AR93" s="276">
        <f>IFERROR(AR77/AR71,"-")</f>
        <v>0.50089285714285714</v>
      </c>
      <c r="AS93" s="276"/>
      <c r="AT93" s="276">
        <f>IFERROR(AT77/AT71,"-")</f>
        <v>0.50089285714285714</v>
      </c>
      <c r="AU93" s="277"/>
      <c r="AV93" s="276">
        <f>IFERROR(AV77/AV71,"-")</f>
        <v>0.50089285714285714</v>
      </c>
    </row>
    <row r="94" spans="18:62" ht="13.8" x14ac:dyDescent="0.25">
      <c r="S94" s="13"/>
      <c r="T94" s="13"/>
      <c r="U94" s="13"/>
      <c r="AI94" s="271" t="s">
        <v>30</v>
      </c>
      <c r="AJ94" s="13"/>
      <c r="AK94" s="13"/>
      <c r="AL94" s="13"/>
      <c r="AM94" s="13"/>
      <c r="AN94" s="13"/>
      <c r="AO94" s="13"/>
      <c r="AP94" s="13"/>
      <c r="AQ94" s="13"/>
      <c r="AR94" s="13"/>
      <c r="AS94" s="13"/>
      <c r="AT94" s="13"/>
      <c r="AU94" s="13"/>
      <c r="AV94" s="13"/>
      <c r="AW94" s="13"/>
      <c r="AX94" s="13"/>
    </row>
    <row r="95" spans="18:62" ht="13.8" x14ac:dyDescent="0.25">
      <c r="R95" s="4" t="s">
        <v>245</v>
      </c>
      <c r="T95" s="4"/>
      <c r="U95" s="4"/>
      <c r="V95" s="12"/>
      <c r="W95" s="12"/>
      <c r="X95" s="12"/>
      <c r="Y95" s="12"/>
      <c r="Z95" s="12"/>
      <c r="AA95" s="12"/>
      <c r="AB95" s="12"/>
      <c r="AC95" s="12"/>
      <c r="AD95" s="12"/>
      <c r="AE95" s="12"/>
      <c r="AF95" s="12"/>
      <c r="AG95" s="12"/>
      <c r="AH95" s="12"/>
      <c r="AI95" s="61"/>
      <c r="AJ95" s="4"/>
      <c r="AK95" s="4"/>
      <c r="AM95" s="4"/>
      <c r="AN95" s="10"/>
      <c r="AO95" s="4"/>
      <c r="AP95" s="10"/>
      <c r="AQ95" s="4"/>
      <c r="AR95" s="10"/>
      <c r="AS95" s="4"/>
      <c r="AT95" s="10"/>
      <c r="AU95" s="10"/>
      <c r="AV95" s="10"/>
      <c r="AW95" s="9"/>
      <c r="AX95" s="9"/>
    </row>
    <row r="96" spans="18:62" x14ac:dyDescent="0.25">
      <c r="S96" s="6"/>
      <c r="T96" s="67" t="s">
        <v>1</v>
      </c>
      <c r="U96" s="6"/>
      <c r="V96" s="5">
        <f>V84+V79+V74</f>
        <v>408.06818181818181</v>
      </c>
      <c r="W96" s="270"/>
      <c r="X96" s="5">
        <f>X84+X79+X74</f>
        <v>404.18181818181819</v>
      </c>
      <c r="Y96" s="270"/>
      <c r="Z96" s="5">
        <f>Z84+Z79+Z74</f>
        <v>404.18181818181819</v>
      </c>
      <c r="AA96" s="270"/>
      <c r="AB96" s="5">
        <f>AB84+AB79+AB74</f>
        <v>404.18181818181819</v>
      </c>
      <c r="AC96" s="270"/>
      <c r="AD96" s="5">
        <f>AD84+AD79+AD74</f>
        <v>404.18181818181819</v>
      </c>
      <c r="AE96" s="270"/>
      <c r="AF96" s="5">
        <f>AF84+AF79+AF74</f>
        <v>404.18181818181819</v>
      </c>
      <c r="AI96" s="2" t="s">
        <v>0</v>
      </c>
      <c r="AL96" s="272">
        <f>AL84+AL79+AL74</f>
        <v>408.5</v>
      </c>
      <c r="AM96" s="37"/>
      <c r="AN96" s="35">
        <f>AN84+AN79+AN74</f>
        <v>404</v>
      </c>
      <c r="AO96" s="35"/>
      <c r="AP96" s="35">
        <f>AP84+AP79+AP74</f>
        <v>404</v>
      </c>
      <c r="AQ96" s="35"/>
      <c r="AR96" s="35">
        <f>AR84+AR79+AR74</f>
        <v>404</v>
      </c>
      <c r="AS96" s="35"/>
      <c r="AT96" s="35">
        <f>AT84+AT79+AT74</f>
        <v>404.5</v>
      </c>
      <c r="AU96" s="35"/>
      <c r="AV96" s="35">
        <f>AV84+AV79+AV74</f>
        <v>404</v>
      </c>
    </row>
    <row r="97" spans="19:48" x14ac:dyDescent="0.25">
      <c r="S97" s="6"/>
      <c r="T97" s="6"/>
      <c r="U97" s="6"/>
      <c r="V97" s="5">
        <f>V85+V80+V75</f>
        <v>680.11363636363637</v>
      </c>
      <c r="W97" s="270"/>
      <c r="X97" s="5">
        <f>X85+X80+X75</f>
        <v>673.63636363636363</v>
      </c>
      <c r="Y97" s="270"/>
      <c r="Z97" s="5">
        <f>Z85+Z80+Z75</f>
        <v>673.63636363636363</v>
      </c>
      <c r="AA97" s="270"/>
      <c r="AB97" s="5">
        <f>AB85+AB80+AB75</f>
        <v>673.63636363636363</v>
      </c>
      <c r="AC97" s="270"/>
      <c r="AD97" s="5">
        <f>AD85+AD80+AD75</f>
        <v>673.63636363636363</v>
      </c>
      <c r="AE97" s="270"/>
      <c r="AF97" s="5">
        <f>AF85+AF80+AF75</f>
        <v>673.63636363636363</v>
      </c>
      <c r="AL97" s="272">
        <f>AL85+AL80+AL75</f>
        <v>680</v>
      </c>
      <c r="AM97" s="37"/>
      <c r="AN97" s="35">
        <f>AN85+AN80+AN75</f>
        <v>673.5</v>
      </c>
      <c r="AO97" s="35"/>
      <c r="AP97" s="35">
        <f>AP85+AP80+AP75</f>
        <v>673</v>
      </c>
      <c r="AQ97" s="35"/>
      <c r="AR97" s="35">
        <f>AR85+AR80+AR75</f>
        <v>673</v>
      </c>
      <c r="AS97" s="35"/>
      <c r="AT97" s="35">
        <f>AT85+AT80+AT75</f>
        <v>673</v>
      </c>
      <c r="AU97" s="35"/>
      <c r="AV97" s="35">
        <f>AV85+AV80+AV75</f>
        <v>673.5</v>
      </c>
    </row>
    <row r="98" spans="19:48" x14ac:dyDescent="0.25">
      <c r="S98" s="6"/>
      <c r="T98" s="6"/>
      <c r="U98" s="6"/>
      <c r="V98" s="5">
        <f>V86+V81+V76</f>
        <v>770.7954545454545</v>
      </c>
      <c r="W98" s="270"/>
      <c r="X98" s="5">
        <f>X86+X81+X76</f>
        <v>763.45454545454538</v>
      </c>
      <c r="Y98" s="270"/>
      <c r="Z98" s="5">
        <f>Z86+Z81+Z76</f>
        <v>763.45454545454538</v>
      </c>
      <c r="AA98" s="270"/>
      <c r="AB98" s="5">
        <f>AB86+AB81+AB76</f>
        <v>763.45454545454538</v>
      </c>
      <c r="AC98" s="270"/>
      <c r="AD98" s="5">
        <f>AD86+AD81+AD76</f>
        <v>763.45454545454538</v>
      </c>
      <c r="AE98" s="270"/>
      <c r="AF98" s="5">
        <f>AF86+AF81+AF76</f>
        <v>763.45454545454538</v>
      </c>
      <c r="AL98" s="272">
        <f>AL86+AL81+AL76</f>
        <v>770</v>
      </c>
      <c r="AM98" s="37"/>
      <c r="AN98" s="35">
        <f>AN86+AN81+AN76</f>
        <v>763</v>
      </c>
      <c r="AO98" s="35"/>
      <c r="AP98" s="35">
        <f>AP86+AP81+AP76</f>
        <v>763.5</v>
      </c>
      <c r="AQ98" s="35"/>
      <c r="AR98" s="35">
        <f>AR86+AR81+AR76</f>
        <v>763</v>
      </c>
      <c r="AS98" s="35"/>
      <c r="AT98" s="35">
        <f>AT86+AT81+AT76</f>
        <v>763</v>
      </c>
      <c r="AU98" s="35"/>
      <c r="AV98" s="35">
        <f>AV86+AV81+AV76</f>
        <v>763</v>
      </c>
    </row>
    <row r="99" spans="19:48" x14ac:dyDescent="0.25">
      <c r="S99" s="6"/>
      <c r="T99" s="6"/>
      <c r="U99" s="6"/>
      <c r="V99" s="5">
        <f>V87+V82+V77</f>
        <v>1133.5227272727273</v>
      </c>
      <c r="W99" s="270"/>
      <c r="X99" s="5">
        <f>X87+X82+X77</f>
        <v>1122.7272727272727</v>
      </c>
      <c r="Y99" s="270"/>
      <c r="Z99" s="5">
        <f>Z87+Z82+Z77</f>
        <v>1122.7272727272727</v>
      </c>
      <c r="AA99" s="270"/>
      <c r="AB99" s="5">
        <f>AB87+AB82+AB77</f>
        <v>1122.7272727272727</v>
      </c>
      <c r="AC99" s="270"/>
      <c r="AD99" s="5">
        <f>AD87+AD82+AD77</f>
        <v>1122.7272727272727</v>
      </c>
      <c r="AE99" s="270"/>
      <c r="AF99" s="5">
        <f>AF87+AF82+AF77</f>
        <v>1122.7272727272727</v>
      </c>
      <c r="AL99" s="272">
        <f>AL87+AL82+AL77</f>
        <v>1134</v>
      </c>
      <c r="AM99" s="37"/>
      <c r="AN99" s="35">
        <f>AN87+AN82+AN77</f>
        <v>1122</v>
      </c>
      <c r="AO99" s="35"/>
      <c r="AP99" s="35">
        <f>AP87+AP82+AP77</f>
        <v>1122</v>
      </c>
      <c r="AQ99" s="35"/>
      <c r="AR99" s="35">
        <f>AR87+AR82+AR77</f>
        <v>1122.5</v>
      </c>
      <c r="AS99" s="35"/>
      <c r="AT99" s="35">
        <f>AT87+AT82+AT77</f>
        <v>1122</v>
      </c>
      <c r="AU99" s="35"/>
      <c r="AV99" s="35">
        <f>AV87+AV82+AV77</f>
        <v>1122</v>
      </c>
    </row>
  </sheetData>
  <conditionalFormatting sqref="AL4:AL14">
    <cfRule type="expression" dxfId="72" priority="1">
      <formula>AZ4&lt;1</formula>
    </cfRule>
    <cfRule type="expression" dxfId="71" priority="2">
      <formula>AZ4&gt;4</formula>
    </cfRule>
  </conditionalFormatting>
  <conditionalFormatting sqref="AL15:AL46">
    <cfRule type="expression" dxfId="70" priority="5">
      <formula>AZ15&lt;1</formula>
    </cfRule>
    <cfRule type="expression" dxfId="69" priority="6">
      <formula>AZ15&lt;=2</formula>
    </cfRule>
  </conditionalFormatting>
  <conditionalFormatting sqref="AL49:AL58">
    <cfRule type="expression" dxfId="68" priority="7">
      <formula>AZ49&lt;1</formula>
    </cfRule>
    <cfRule type="expression" dxfId="67" priority="8">
      <formula>AZ49&lt;=2</formula>
    </cfRule>
  </conditionalFormatting>
  <conditionalFormatting sqref="AL61:AL64">
    <cfRule type="expression" dxfId="66" priority="11">
      <formula>AZ61&lt;1</formula>
    </cfRule>
    <cfRule type="expression" dxfId="65" priority="12">
      <formula>AZ61&lt;=2</formula>
    </cfRule>
  </conditionalFormatting>
  <conditionalFormatting sqref="AL68:AL71">
    <cfRule type="expression" dxfId="64" priority="3">
      <formula>AZ68&lt;1</formula>
    </cfRule>
    <cfRule type="expression" dxfId="63" priority="4">
      <formula>AZ68&lt;=2</formula>
    </cfRule>
  </conditionalFormatting>
  <conditionalFormatting sqref="AL74:AL87">
    <cfRule type="expression" dxfId="62" priority="13">
      <formula>AZ74&lt;1</formula>
    </cfRule>
    <cfRule type="expression" dxfId="61" priority="14">
      <formula>AZ74&lt;=2</formula>
    </cfRule>
  </conditionalFormatting>
  <conditionalFormatting sqref="AN4:AN14">
    <cfRule type="expression" dxfId="60" priority="83">
      <formula>BB4&lt;1</formula>
    </cfRule>
    <cfRule type="expression" dxfId="59" priority="84">
      <formula>BB4&gt;4</formula>
    </cfRule>
  </conditionalFormatting>
  <conditionalFormatting sqref="AN15:AN46">
    <cfRule type="expression" dxfId="58" priority="85">
      <formula>BB15&lt;1</formula>
    </cfRule>
    <cfRule type="expression" dxfId="57" priority="86">
      <formula>BB15&lt;=2</formula>
    </cfRule>
  </conditionalFormatting>
  <conditionalFormatting sqref="AN49:AN58">
    <cfRule type="expression" dxfId="56" priority="95">
      <formula>BB49&lt;1</formula>
    </cfRule>
    <cfRule type="expression" dxfId="55" priority="96">
      <formula>BB49&lt;=2</formula>
    </cfRule>
  </conditionalFormatting>
  <conditionalFormatting sqref="AN61:AN64">
    <cfRule type="expression" dxfId="54" priority="107">
      <formula>BB61&lt;1</formula>
    </cfRule>
    <cfRule type="expression" dxfId="53" priority="108">
      <formula>BB61&lt;=2</formula>
    </cfRule>
  </conditionalFormatting>
  <conditionalFormatting sqref="AN68:AN71">
    <cfRule type="expression" dxfId="52" priority="74">
      <formula>BB68&lt;=2</formula>
    </cfRule>
    <cfRule type="expression" dxfId="51" priority="73">
      <formula>BB68&lt;1</formula>
    </cfRule>
  </conditionalFormatting>
  <conditionalFormatting sqref="AN74:AN87">
    <cfRule type="expression" dxfId="50" priority="114">
      <formula>BB74&lt;=2</formula>
    </cfRule>
    <cfRule type="expression" dxfId="49" priority="113">
      <formula>BB74&lt;1</formula>
    </cfRule>
  </conditionalFormatting>
  <conditionalFormatting sqref="AP4:AP14">
    <cfRule type="expression" dxfId="48" priority="82">
      <formula>BD4&gt;4</formula>
    </cfRule>
    <cfRule type="expression" dxfId="47" priority="81">
      <formula>BD4&lt;1</formula>
    </cfRule>
  </conditionalFormatting>
  <conditionalFormatting sqref="AP15:AP46">
    <cfRule type="expression" dxfId="46" priority="62">
      <formula>BD15&lt;=2</formula>
    </cfRule>
    <cfRule type="expression" dxfId="45" priority="61">
      <formula>BD15&lt;1</formula>
    </cfRule>
  </conditionalFormatting>
  <conditionalFormatting sqref="AP49:AP58">
    <cfRule type="expression" dxfId="44" priority="63">
      <formula>BD49&lt;1</formula>
    </cfRule>
    <cfRule type="expression" dxfId="43" priority="64">
      <formula>BD49&lt;=2</formula>
    </cfRule>
  </conditionalFormatting>
  <conditionalFormatting sqref="AP61:AP64">
    <cfRule type="expression" dxfId="42" priority="67">
      <formula>BD61&lt;1</formula>
    </cfRule>
    <cfRule type="expression" dxfId="41" priority="68">
      <formula>BD61&lt;=2</formula>
    </cfRule>
  </conditionalFormatting>
  <conditionalFormatting sqref="AP68:AP71">
    <cfRule type="expression" dxfId="40" priority="59">
      <formula>BD68&lt;1</formula>
    </cfRule>
    <cfRule type="expression" dxfId="39" priority="60">
      <formula>BD68&lt;=2</formula>
    </cfRule>
  </conditionalFormatting>
  <conditionalFormatting sqref="AP74:AP87">
    <cfRule type="expression" dxfId="38" priority="70">
      <formula>BD74&lt;=2</formula>
    </cfRule>
    <cfRule type="expression" dxfId="37" priority="69">
      <formula>BD74&lt;1</formula>
    </cfRule>
  </conditionalFormatting>
  <conditionalFormatting sqref="AR4:AR14">
    <cfRule type="expression" dxfId="36" priority="80">
      <formula>BF4&gt;4</formula>
    </cfRule>
    <cfRule type="expression" dxfId="35" priority="79">
      <formula>BF4&lt;1</formula>
    </cfRule>
  </conditionalFormatting>
  <conditionalFormatting sqref="AR15:AR46">
    <cfRule type="expression" dxfId="34" priority="48">
      <formula>BF15&lt;=2</formula>
    </cfRule>
    <cfRule type="expression" dxfId="33" priority="47">
      <formula>BF15&lt;1</formula>
    </cfRule>
  </conditionalFormatting>
  <conditionalFormatting sqref="AR49:AR58">
    <cfRule type="expression" dxfId="32" priority="49">
      <formula>BF49&lt;1</formula>
    </cfRule>
    <cfRule type="expression" dxfId="31" priority="50">
      <formula>BF49&lt;=2</formula>
    </cfRule>
  </conditionalFormatting>
  <conditionalFormatting sqref="AR61:AR64">
    <cfRule type="expression" dxfId="30" priority="53">
      <formula>BF61&lt;1</formula>
    </cfRule>
    <cfRule type="expression" dxfId="29" priority="54">
      <formula>BF61&lt;=2</formula>
    </cfRule>
  </conditionalFormatting>
  <conditionalFormatting sqref="AR68:AR71">
    <cfRule type="expression" dxfId="28" priority="46">
      <formula>BF68&lt;=2</formula>
    </cfRule>
    <cfRule type="expression" dxfId="27" priority="45">
      <formula>BF68&lt;1</formula>
    </cfRule>
  </conditionalFormatting>
  <conditionalFormatting sqref="AR74:AR87">
    <cfRule type="expression" dxfId="26" priority="55">
      <formula>BF74&lt;1</formula>
    </cfRule>
    <cfRule type="expression" dxfId="25" priority="56">
      <formula>BF74&lt;=2</formula>
    </cfRule>
  </conditionalFormatting>
  <conditionalFormatting sqref="AT4:AT14">
    <cfRule type="expression" dxfId="24" priority="78">
      <formula>BH4&gt;4</formula>
    </cfRule>
    <cfRule type="expression" dxfId="23" priority="77">
      <formula>BH4&lt;1</formula>
    </cfRule>
  </conditionalFormatting>
  <conditionalFormatting sqref="AT15:AT46">
    <cfRule type="expression" dxfId="22" priority="34">
      <formula>BH15&lt;=2</formula>
    </cfRule>
    <cfRule type="expression" dxfId="21" priority="33">
      <formula>BH15&lt;1</formula>
    </cfRule>
  </conditionalFormatting>
  <conditionalFormatting sqref="AT49:AT58">
    <cfRule type="expression" dxfId="20" priority="35">
      <formula>BH49&lt;1</formula>
    </cfRule>
    <cfRule type="expression" dxfId="19" priority="36">
      <formula>BH49&lt;=2</formula>
    </cfRule>
  </conditionalFormatting>
  <conditionalFormatting sqref="AT61:AT64">
    <cfRule type="expression" dxfId="18" priority="40">
      <formula>BH61&lt;=2</formula>
    </cfRule>
    <cfRule type="expression" dxfId="17" priority="39">
      <formula>BH61&lt;1</formula>
    </cfRule>
  </conditionalFormatting>
  <conditionalFormatting sqref="AT68:AT71">
    <cfRule type="expression" dxfId="16" priority="31">
      <formula>BH68&lt;1</formula>
    </cfRule>
    <cfRule type="expression" dxfId="15" priority="32">
      <formula>BH68&lt;=2</formula>
    </cfRule>
  </conditionalFormatting>
  <conditionalFormatting sqref="AT74:AT87">
    <cfRule type="expression" dxfId="14" priority="42">
      <formula>BH74&lt;=2</formula>
    </cfRule>
    <cfRule type="expression" dxfId="13" priority="41">
      <formula>BH74&lt;1</formula>
    </cfRule>
  </conditionalFormatting>
  <conditionalFormatting sqref="AV4:AV14">
    <cfRule type="expression" dxfId="12" priority="76">
      <formula>BJ4&gt;4</formula>
    </cfRule>
    <cfRule type="expression" dxfId="11" priority="75">
      <formula>BJ4&lt;1</formula>
    </cfRule>
  </conditionalFormatting>
  <conditionalFormatting sqref="AV15:AV46">
    <cfRule type="expression" dxfId="10" priority="19">
      <formula>BJ15&lt;1</formula>
    </cfRule>
    <cfRule type="expression" dxfId="9" priority="20">
      <formula>BJ15&lt;=2</formula>
    </cfRule>
  </conditionalFormatting>
  <conditionalFormatting sqref="AV49:AV58">
    <cfRule type="expression" dxfId="8" priority="22">
      <formula>BJ49&lt;=2</formula>
    </cfRule>
    <cfRule type="expression" dxfId="7" priority="21">
      <formula>BJ49&lt;1</formula>
    </cfRule>
  </conditionalFormatting>
  <conditionalFormatting sqref="AV61:AV64">
    <cfRule type="expression" dxfId="6" priority="26">
      <formula>BJ61&lt;=2</formula>
    </cfRule>
    <cfRule type="expression" dxfId="5" priority="25">
      <formula>BJ61&lt;1</formula>
    </cfRule>
  </conditionalFormatting>
  <conditionalFormatting sqref="AV68:AV71">
    <cfRule type="expression" dxfId="4" priority="17">
      <formula>BJ68&lt;1</formula>
    </cfRule>
    <cfRule type="expression" dxfId="3" priority="18">
      <formula>BJ68&lt;=2</formula>
    </cfRule>
  </conditionalFormatting>
  <conditionalFormatting sqref="AV74:AV87">
    <cfRule type="expression" dxfId="2" priority="28">
      <formula>BJ74&lt;=2</formula>
    </cfRule>
    <cfRule type="expression" dxfId="1" priority="27">
      <formula>BJ74&lt;1</formula>
    </cfRule>
  </conditionalFormatting>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39DE6-B71E-4B0A-8637-15E6DF9A56CF}">
  <dimension ref="A1:AP271"/>
  <sheetViews>
    <sheetView topLeftCell="A16" workbookViewId="0">
      <selection activeCell="AH13" sqref="AH13"/>
    </sheetView>
  </sheetViews>
  <sheetFormatPr baseColWidth="10" defaultColWidth="11.44140625" defaultRowHeight="14.4" thickBottom="1" outlineLevelRow="1" x14ac:dyDescent="0.35"/>
  <cols>
    <col min="1" max="1" width="14.33203125" style="94" customWidth="1"/>
    <col min="2" max="2" width="11" style="109" customWidth="1"/>
    <col min="3" max="3" width="11.109375" style="93" customWidth="1"/>
    <col min="4" max="4" width="8.109375" style="93" customWidth="1"/>
    <col min="5" max="5" width="6.5546875" style="93" customWidth="1"/>
    <col min="6" max="6" width="11" style="93" customWidth="1"/>
    <col min="7" max="7" width="10.6640625" style="93" customWidth="1"/>
    <col min="8" max="8" width="10.88671875" style="93" customWidth="1"/>
    <col min="9" max="9" width="11.33203125" style="108" hidden="1" customWidth="1"/>
    <col min="10" max="11" width="11.33203125" style="108" customWidth="1"/>
    <col min="12" max="12" width="11.33203125" style="107" hidden="1" customWidth="1"/>
    <col min="13" max="13" width="11.33203125" style="106" hidden="1" customWidth="1"/>
    <col min="14" max="14" width="11.33203125" style="106" customWidth="1"/>
    <col min="15" max="15" width="11.33203125" style="106" hidden="1" customWidth="1"/>
    <col min="16" max="16" width="11.33203125" style="106" customWidth="1"/>
    <col min="17" max="17" width="11.33203125" style="106" hidden="1" customWidth="1"/>
    <col min="18" max="18" width="11.33203125" style="106" customWidth="1"/>
    <col min="19" max="19" width="11.33203125" style="106" hidden="1" customWidth="1"/>
    <col min="20" max="20" width="11.33203125" style="106" customWidth="1"/>
    <col min="21" max="21" width="11.33203125" style="106" hidden="1" customWidth="1"/>
    <col min="22" max="22" width="11.33203125" style="106" customWidth="1"/>
    <col min="23" max="23" width="11.33203125" style="105" customWidth="1"/>
    <col min="24" max="24" width="11.33203125" style="105" hidden="1" customWidth="1"/>
    <col min="25" max="25" width="11.33203125" style="105" customWidth="1"/>
    <col min="26" max="26" width="11.33203125" style="105" hidden="1" customWidth="1"/>
    <col min="27" max="27" width="11.33203125" style="105" customWidth="1"/>
    <col min="28" max="28" width="11.33203125" style="105" hidden="1" customWidth="1"/>
    <col min="29" max="29" width="11.33203125" style="105" customWidth="1"/>
    <col min="30" max="30" width="11.33203125" style="105" hidden="1" customWidth="1"/>
    <col min="31" max="31" width="11.33203125" style="105" customWidth="1"/>
    <col min="32" max="32" width="11.44140625" style="93"/>
    <col min="33" max="33" width="5" style="104" customWidth="1"/>
    <col min="34" max="34" width="11.44140625" style="103"/>
    <col min="35" max="16384" width="11.44140625" style="93"/>
  </cols>
  <sheetData>
    <row r="1" spans="1:42" ht="13.8" x14ac:dyDescent="0.3">
      <c r="A1" s="176" t="s">
        <v>201</v>
      </c>
      <c r="G1" s="243" t="s">
        <v>200</v>
      </c>
      <c r="H1" s="243"/>
      <c r="I1" s="241"/>
      <c r="J1" s="241"/>
      <c r="K1" s="241"/>
      <c r="L1" s="242"/>
      <c r="M1" s="241"/>
      <c r="N1" s="241"/>
      <c r="O1" s="241"/>
      <c r="P1" s="241"/>
      <c r="Q1" s="241"/>
      <c r="R1" s="241"/>
      <c r="S1" s="241"/>
      <c r="T1" s="241"/>
      <c r="U1" s="241"/>
      <c r="V1" s="241"/>
      <c r="W1" s="108"/>
      <c r="X1" s="108"/>
      <c r="Y1" s="108"/>
      <c r="Z1" s="108"/>
      <c r="AA1" s="108"/>
      <c r="AB1" s="108"/>
      <c r="AC1" s="108"/>
      <c r="AD1" s="108"/>
      <c r="AE1" s="108"/>
      <c r="AG1" s="108" t="s">
        <v>199</v>
      </c>
      <c r="AH1" s="240" t="s">
        <v>198</v>
      </c>
      <c r="AI1" s="239" t="s">
        <v>197</v>
      </c>
      <c r="AJ1" s="239" t="s">
        <v>196</v>
      </c>
      <c r="AK1" s="239" t="s">
        <v>195</v>
      </c>
      <c r="AL1" s="239" t="s">
        <v>194</v>
      </c>
      <c r="AM1" s="239" t="s">
        <v>193</v>
      </c>
      <c r="AN1" s="239" t="s">
        <v>192</v>
      </c>
      <c r="AO1" s="239" t="s">
        <v>191</v>
      </c>
      <c r="AP1" s="239" t="s">
        <v>190</v>
      </c>
    </row>
    <row r="2" spans="1:42" ht="13.8" x14ac:dyDescent="0.3">
      <c r="A2" s="238" t="s">
        <v>189</v>
      </c>
      <c r="M2" s="108"/>
      <c r="N2" s="108"/>
      <c r="O2" s="108"/>
      <c r="P2" s="108"/>
      <c r="Q2" s="108"/>
      <c r="R2" s="108"/>
      <c r="S2" s="108"/>
      <c r="T2" s="108"/>
      <c r="U2" s="108"/>
      <c r="V2" s="108"/>
      <c r="W2" s="108"/>
      <c r="X2" s="108"/>
      <c r="Y2" s="108"/>
      <c r="Z2" s="108"/>
      <c r="AA2" s="108"/>
      <c r="AB2" s="108"/>
      <c r="AC2" s="108"/>
      <c r="AD2" s="108"/>
      <c r="AE2" s="108"/>
      <c r="AG2" s="93"/>
    </row>
    <row r="3" spans="1:42" ht="12.75" customHeight="1" x14ac:dyDescent="0.3">
      <c r="A3" s="238" t="s">
        <v>188</v>
      </c>
      <c r="M3" s="108"/>
      <c r="N3" s="108"/>
      <c r="O3" s="108"/>
      <c r="P3" s="108"/>
      <c r="Q3" s="108"/>
      <c r="R3" s="108"/>
      <c r="S3" s="108"/>
      <c r="T3" s="108"/>
      <c r="U3" s="108"/>
      <c r="V3" s="108"/>
      <c r="W3" s="108"/>
      <c r="X3" s="108"/>
      <c r="Y3" s="108"/>
      <c r="Z3" s="108"/>
      <c r="AA3" s="108"/>
      <c r="AB3" s="108"/>
      <c r="AC3" s="108"/>
      <c r="AD3" s="108"/>
      <c r="AE3" s="108"/>
      <c r="AG3" s="104" t="s">
        <v>187</v>
      </c>
    </row>
    <row r="4" spans="1:42" thickBot="1" x14ac:dyDescent="0.35">
      <c r="I4" s="236"/>
      <c r="J4" s="236"/>
      <c r="K4" s="236"/>
      <c r="L4" s="237"/>
      <c r="M4" s="236"/>
      <c r="N4" s="236"/>
      <c r="O4" s="236"/>
      <c r="P4" s="236"/>
      <c r="Q4" s="236"/>
      <c r="R4" s="236"/>
      <c r="S4" s="236"/>
      <c r="T4" s="236"/>
      <c r="U4" s="236"/>
      <c r="V4" s="236"/>
      <c r="W4" s="236"/>
      <c r="X4" s="236"/>
      <c r="Y4" s="236"/>
      <c r="Z4" s="236"/>
      <c r="AA4" s="236"/>
      <c r="AB4" s="236"/>
      <c r="AC4" s="236"/>
      <c r="AD4" s="236"/>
      <c r="AE4" s="236"/>
    </row>
    <row r="5" spans="1:42" ht="81" thickBot="1" x14ac:dyDescent="0.3">
      <c r="A5" s="174" t="s">
        <v>126</v>
      </c>
      <c r="B5" s="171" t="s">
        <v>125</v>
      </c>
      <c r="C5" s="171" t="s">
        <v>124</v>
      </c>
      <c r="D5" s="171" t="s">
        <v>123</v>
      </c>
      <c r="E5" s="173" t="s">
        <v>122</v>
      </c>
      <c r="F5" s="316" t="s">
        <v>121</v>
      </c>
      <c r="G5" s="171" t="s">
        <v>119</v>
      </c>
      <c r="H5" s="171" t="s">
        <v>118</v>
      </c>
      <c r="I5" s="172" t="s">
        <v>120</v>
      </c>
      <c r="J5" s="171" t="s">
        <v>119</v>
      </c>
      <c r="K5" s="171" t="s">
        <v>118</v>
      </c>
      <c r="L5" s="170" t="s">
        <v>117</v>
      </c>
      <c r="M5" s="169" t="s">
        <v>116</v>
      </c>
      <c r="N5" s="312" t="s">
        <v>115</v>
      </c>
      <c r="O5" s="313"/>
      <c r="P5" s="313"/>
      <c r="Q5" s="313"/>
      <c r="R5" s="313"/>
      <c r="S5" s="313"/>
      <c r="T5" s="313"/>
      <c r="U5" s="313"/>
      <c r="V5" s="314"/>
      <c r="W5" s="313" t="s">
        <v>114</v>
      </c>
      <c r="X5" s="313"/>
      <c r="Y5" s="313"/>
      <c r="Z5" s="313"/>
      <c r="AA5" s="313"/>
      <c r="AB5" s="313"/>
      <c r="AC5" s="313"/>
      <c r="AD5" s="313"/>
      <c r="AE5" s="315"/>
    </row>
    <row r="6" spans="1:42" ht="27.6" thickBot="1" x14ac:dyDescent="0.35">
      <c r="A6" s="168"/>
      <c r="B6" s="165"/>
      <c r="C6" s="166"/>
      <c r="D6" s="166" t="s">
        <v>67</v>
      </c>
      <c r="E6" s="166" t="s">
        <v>67</v>
      </c>
      <c r="F6" s="317"/>
      <c r="G6" s="166" t="s">
        <v>113</v>
      </c>
      <c r="H6" s="166" t="s">
        <v>113</v>
      </c>
      <c r="I6" s="167" t="s">
        <v>112</v>
      </c>
      <c r="J6" s="166" t="s">
        <v>111</v>
      </c>
      <c r="K6" s="166" t="s">
        <v>111</v>
      </c>
      <c r="L6" s="165"/>
      <c r="M6" s="164"/>
      <c r="N6" s="163" t="s">
        <v>110</v>
      </c>
      <c r="O6" s="162"/>
      <c r="P6" s="162" t="s">
        <v>109</v>
      </c>
      <c r="Q6" s="162"/>
      <c r="R6" s="162" t="s">
        <v>108</v>
      </c>
      <c r="S6" s="162"/>
      <c r="T6" s="162" t="s">
        <v>107</v>
      </c>
      <c r="U6" s="162"/>
      <c r="V6" s="161" t="s">
        <v>106</v>
      </c>
      <c r="W6" s="160" t="s">
        <v>110</v>
      </c>
      <c r="X6" s="159"/>
      <c r="Y6" s="159" t="s">
        <v>109</v>
      </c>
      <c r="Z6" s="159"/>
      <c r="AA6" s="159" t="s">
        <v>108</v>
      </c>
      <c r="AB6" s="159"/>
      <c r="AC6" s="159" t="s">
        <v>107</v>
      </c>
      <c r="AD6" s="159"/>
      <c r="AE6" s="159" t="s">
        <v>106</v>
      </c>
    </row>
    <row r="7" spans="1:42" ht="15.6" x14ac:dyDescent="0.25">
      <c r="A7" s="210"/>
      <c r="B7" s="209"/>
      <c r="C7" s="208"/>
      <c r="D7" s="208"/>
      <c r="E7" s="208"/>
      <c r="F7" s="208"/>
      <c r="G7" s="208"/>
      <c r="H7" s="208"/>
      <c r="I7" s="206"/>
      <c r="J7" s="206"/>
      <c r="K7" s="206"/>
      <c r="L7" s="205"/>
      <c r="M7" s="204"/>
      <c r="N7" s="204"/>
      <c r="O7" s="204"/>
      <c r="P7" s="204"/>
      <c r="Q7" s="204"/>
      <c r="R7" s="204"/>
      <c r="S7" s="204"/>
      <c r="T7" s="204"/>
      <c r="U7" s="204"/>
      <c r="V7" s="204"/>
      <c r="W7" s="203"/>
      <c r="X7" s="203"/>
      <c r="Y7" s="203"/>
      <c r="Z7" s="203"/>
      <c r="AA7" s="203"/>
      <c r="AB7" s="203"/>
      <c r="AC7" s="203"/>
      <c r="AD7" s="203"/>
      <c r="AE7" s="202"/>
      <c r="AH7" s="120"/>
    </row>
    <row r="8" spans="1:42" thickBot="1" x14ac:dyDescent="0.3">
      <c r="A8" s="101" t="s">
        <v>186</v>
      </c>
      <c r="B8" s="235"/>
      <c r="C8" s="234"/>
      <c r="D8" s="234"/>
      <c r="E8" s="234"/>
      <c r="F8" s="234"/>
      <c r="G8" s="234"/>
      <c r="H8" s="234"/>
      <c r="I8" s="232"/>
      <c r="J8" s="232"/>
      <c r="K8" s="232"/>
      <c r="L8" s="233"/>
      <c r="M8" s="232"/>
      <c r="N8" s="232"/>
      <c r="O8" s="232"/>
      <c r="P8" s="232"/>
      <c r="Q8" s="232"/>
      <c r="R8" s="232"/>
      <c r="S8" s="232"/>
      <c r="T8" s="232"/>
      <c r="U8" s="232"/>
      <c r="V8" s="232"/>
      <c r="W8" s="232"/>
      <c r="X8" s="232"/>
      <c r="Y8" s="232"/>
      <c r="Z8" s="232"/>
      <c r="AA8" s="232"/>
      <c r="AB8" s="232"/>
      <c r="AC8" s="232"/>
      <c r="AD8" s="232"/>
      <c r="AE8" s="231"/>
      <c r="AG8" s="104" t="s">
        <v>116</v>
      </c>
      <c r="AH8" s="230"/>
    </row>
    <row r="9" spans="1:42" ht="81" outlineLevel="1" thickBot="1" x14ac:dyDescent="0.3">
      <c r="A9" s="174" t="s">
        <v>126</v>
      </c>
      <c r="B9" s="171" t="s">
        <v>125</v>
      </c>
      <c r="C9" s="171" t="s">
        <v>124</v>
      </c>
      <c r="D9" s="171" t="s">
        <v>123</v>
      </c>
      <c r="E9" s="173" t="s">
        <v>122</v>
      </c>
      <c r="F9" s="316" t="s">
        <v>121</v>
      </c>
      <c r="G9" s="171" t="s">
        <v>119</v>
      </c>
      <c r="H9" s="171" t="s">
        <v>118</v>
      </c>
      <c r="I9" s="172" t="s">
        <v>120</v>
      </c>
      <c r="J9" s="171" t="s">
        <v>119</v>
      </c>
      <c r="K9" s="171" t="s">
        <v>118</v>
      </c>
      <c r="L9" s="170" t="s">
        <v>117</v>
      </c>
      <c r="M9" s="169" t="s">
        <v>116</v>
      </c>
      <c r="N9" s="312" t="s">
        <v>115</v>
      </c>
      <c r="O9" s="313"/>
      <c r="P9" s="313"/>
      <c r="Q9" s="313"/>
      <c r="R9" s="313"/>
      <c r="S9" s="313"/>
      <c r="T9" s="313"/>
      <c r="U9" s="313"/>
      <c r="V9" s="314"/>
      <c r="W9" s="313" t="s">
        <v>114</v>
      </c>
      <c r="X9" s="313"/>
      <c r="Y9" s="313"/>
      <c r="Z9" s="313"/>
      <c r="AA9" s="313"/>
      <c r="AB9" s="313"/>
      <c r="AC9" s="313"/>
      <c r="AD9" s="313"/>
      <c r="AE9" s="315"/>
    </row>
    <row r="10" spans="1:42" ht="27.6" outlineLevel="1" thickBot="1" x14ac:dyDescent="0.35">
      <c r="A10" s="168"/>
      <c r="B10" s="165"/>
      <c r="C10" s="166"/>
      <c r="D10" s="166" t="s">
        <v>67</v>
      </c>
      <c r="E10" s="166" t="s">
        <v>67</v>
      </c>
      <c r="F10" s="317"/>
      <c r="G10" s="166" t="s">
        <v>113</v>
      </c>
      <c r="H10" s="166" t="s">
        <v>113</v>
      </c>
      <c r="I10" s="167" t="s">
        <v>112</v>
      </c>
      <c r="J10" s="166" t="s">
        <v>111</v>
      </c>
      <c r="K10" s="166" t="s">
        <v>111</v>
      </c>
      <c r="L10" s="165"/>
      <c r="M10" s="164"/>
      <c r="N10" s="163" t="s">
        <v>110</v>
      </c>
      <c r="O10" s="162"/>
      <c r="P10" s="162" t="s">
        <v>109</v>
      </c>
      <c r="Q10" s="162"/>
      <c r="R10" s="162" t="s">
        <v>108</v>
      </c>
      <c r="S10" s="162"/>
      <c r="T10" s="162" t="s">
        <v>107</v>
      </c>
      <c r="U10" s="162"/>
      <c r="V10" s="161" t="s">
        <v>106</v>
      </c>
      <c r="W10" s="160" t="s">
        <v>110</v>
      </c>
      <c r="X10" s="159"/>
      <c r="Y10" s="159" t="s">
        <v>109</v>
      </c>
      <c r="Z10" s="159"/>
      <c r="AA10" s="159" t="s">
        <v>108</v>
      </c>
      <c r="AB10" s="159"/>
      <c r="AC10" s="159" t="s">
        <v>107</v>
      </c>
      <c r="AD10" s="159"/>
      <c r="AE10" s="159" t="s">
        <v>106</v>
      </c>
    </row>
    <row r="11" spans="1:42" ht="15.6" outlineLevel="1" x14ac:dyDescent="0.25">
      <c r="A11" s="210"/>
      <c r="B11" s="209"/>
      <c r="C11" s="208"/>
      <c r="D11" s="208"/>
      <c r="E11" s="208"/>
      <c r="F11" s="208"/>
      <c r="G11" s="208"/>
      <c r="H11" s="208"/>
      <c r="I11" s="206"/>
      <c r="J11" s="206"/>
      <c r="K11" s="206"/>
      <c r="L11" s="205"/>
      <c r="M11" s="204"/>
      <c r="N11" s="204"/>
      <c r="O11" s="204"/>
      <c r="P11" s="204"/>
      <c r="Q11" s="204"/>
      <c r="R11" s="204"/>
      <c r="S11" s="204"/>
      <c r="T11" s="204"/>
      <c r="U11" s="204"/>
      <c r="V11" s="204"/>
      <c r="W11" s="203"/>
      <c r="X11" s="203"/>
      <c r="Y11" s="203"/>
      <c r="Z11" s="203"/>
      <c r="AA11" s="203"/>
      <c r="AB11" s="203"/>
      <c r="AC11" s="203"/>
      <c r="AD11" s="203"/>
      <c r="AE11" s="202"/>
      <c r="AH11" s="120"/>
    </row>
    <row r="12" spans="1:42" ht="16.2" outlineLevel="1" thickBot="1" x14ac:dyDescent="0.3">
      <c r="A12" s="201" t="s">
        <v>185</v>
      </c>
      <c r="B12" s="200"/>
      <c r="C12" s="199"/>
      <c r="D12" s="199"/>
      <c r="E12" s="199"/>
      <c r="F12" s="199"/>
      <c r="G12" s="199"/>
      <c r="H12" s="199"/>
      <c r="I12" s="197"/>
      <c r="J12" s="197"/>
      <c r="K12" s="197"/>
      <c r="L12" s="196"/>
      <c r="M12" s="143"/>
      <c r="N12" s="143"/>
      <c r="O12" s="143"/>
      <c r="P12" s="143"/>
      <c r="Q12" s="143"/>
      <c r="R12" s="143"/>
      <c r="S12" s="143"/>
      <c r="T12" s="143"/>
      <c r="U12" s="143"/>
      <c r="V12" s="143"/>
      <c r="W12" s="195"/>
      <c r="X12" s="195"/>
      <c r="Y12" s="195"/>
      <c r="Z12" s="195"/>
      <c r="AA12" s="195"/>
      <c r="AB12" s="195"/>
      <c r="AC12" s="195"/>
      <c r="AD12" s="195"/>
      <c r="AE12" s="194"/>
      <c r="AH12" s="120" t="b">
        <f ca="1">AH13=A13</f>
        <v>1</v>
      </c>
    </row>
    <row r="13" spans="1:42" outlineLevel="1" thickBot="1" x14ac:dyDescent="0.3">
      <c r="A13" s="212" t="s">
        <v>51</v>
      </c>
      <c r="B13" s="138" t="s">
        <v>185</v>
      </c>
      <c r="C13" s="138" t="s">
        <v>184</v>
      </c>
      <c r="D13" s="223" t="s">
        <v>96</v>
      </c>
      <c r="E13" s="211">
        <v>0.01</v>
      </c>
      <c r="F13" s="135">
        <v>2.8769999999999998</v>
      </c>
      <c r="G13" s="223" t="s">
        <v>96</v>
      </c>
      <c r="H13" s="134">
        <f>IF(AND(ISNUMBER(D13),D13&gt;0.0000001),D13/F13,E13/F13)</f>
        <v>3.4758428919012866E-3</v>
      </c>
      <c r="I13" s="133">
        <v>2E-3</v>
      </c>
      <c r="J13" s="223" t="s">
        <v>96</v>
      </c>
      <c r="K13" s="131">
        <f>ROUND(H13*1000000,-1)</f>
        <v>3480</v>
      </c>
      <c r="L13" s="132">
        <f ca="1">INDIRECT("für_Einstufung!A"&amp;M13)</f>
        <v>0</v>
      </c>
      <c r="M13" s="164">
        <v>28</v>
      </c>
      <c r="N13" s="130">
        <f ca="1">IF(OR(ISNUMBER(INDIRECT("für_Einstufung!"&amp;AH$1&amp;$AG13)),INDIRECT("für_Einstufung!"&amp;AH$1&amp;$AG13)="n.b."),INDIRECT("für_Einstufung!"&amp;AH$1&amp;$AG13),MID(INDIRECT("für_Einstufung!"&amp;AH$1&amp;$AG13),2,20)*1)</f>
        <v>589</v>
      </c>
      <c r="O13" s="131"/>
      <c r="P13" s="131">
        <f ca="1">IF(OR(ISNUMBER(INDIRECT("für_Einstufung!"&amp;AJ$1&amp;$AG13)),INDIRECT("für_Einstufung!"&amp;AJ$1&amp;$AG13)="n.b."),INDIRECT("für_Einstufung!"&amp;AJ$1&amp;$AG13),MID(INDIRECT("für_Einstufung!"&amp;AJ$1&amp;$AG13),2,20)*1)</f>
        <v>584</v>
      </c>
      <c r="Q13" s="131"/>
      <c r="R13" s="131">
        <f ca="1">IF(OR(ISNUMBER(INDIRECT("für_Einstufung!"&amp;AL$1&amp;$AG13)),INDIRECT("für_Einstufung!"&amp;AL$1&amp;$AG13)="n.b."),INDIRECT("für_Einstufung!"&amp;AL$1&amp;$AG13),MID(INDIRECT("für_Einstufung!"&amp;AL$1&amp;$AG13),2,20)*1)</f>
        <v>584</v>
      </c>
      <c r="S13" s="131"/>
      <c r="T13" s="131">
        <f ca="1">IF(OR(ISNUMBER(INDIRECT("für_Einstufung!"&amp;AN$1&amp;$AG13)),INDIRECT("für_Einstufung!"&amp;AN$1&amp;$AG13)="n.b."),INDIRECT("für_Einstufung!"&amp;AN$1&amp;$AG13),MID(INDIRECT("für_Einstufung!"&amp;AN$1&amp;$AG13),2,20)*1)</f>
        <v>584</v>
      </c>
      <c r="U13" s="131"/>
      <c r="V13" s="157">
        <f ca="1">IF(OR(ISNUMBER(INDIRECT("für_Einstufung!"&amp;AP$1&amp;$AG13)),INDIRECT("für_Einstufung!"&amp;AP$1&amp;$AG13)="n.b."),INDIRECT("für_Einstufung!"&amp;AP$1&amp;$AG13),MID(INDIRECT("für_Einstufung!"&amp;AP$1&amp;$AG13),2,20)*1)</f>
        <v>584</v>
      </c>
      <c r="W13" s="191">
        <f ca="1">IF(N13="n.b.","n.b.",N13*0.000001/$H13)</f>
        <v>0.16945529999999998</v>
      </c>
      <c r="X13" s="129"/>
      <c r="Y13" s="129">
        <f ca="1">IF(P13="n.b.","n.b.",P13*0.000001/$H13)</f>
        <v>0.16801679999999997</v>
      </c>
      <c r="Z13" s="129"/>
      <c r="AA13" s="129">
        <f ca="1">IF(R13="n.b.","n.b.",R13*0.000001/$H13)</f>
        <v>0.16801679999999997</v>
      </c>
      <c r="AB13" s="129"/>
      <c r="AC13" s="129">
        <f ca="1">IF(T13="n.b.","n.b.",T13*0.000001/$H13)</f>
        <v>0.16801679999999997</v>
      </c>
      <c r="AD13" s="129"/>
      <c r="AE13" s="129">
        <f ca="1">IF(V13="n.b.","n.b.",V13*0.000001/$H13)</f>
        <v>0.16801679999999997</v>
      </c>
      <c r="AG13" s="104">
        <v>32</v>
      </c>
      <c r="AH13" s="120" t="str">
        <f ca="1">INDIRECT("für_Einstufung!ai$"&amp;AG13)</f>
        <v>Mn</v>
      </c>
    </row>
    <row r="14" spans="1:42" outlineLevel="1" thickBot="1" x14ac:dyDescent="0.3">
      <c r="A14" s="212" t="s">
        <v>41</v>
      </c>
      <c r="B14" s="138" t="s">
        <v>183</v>
      </c>
      <c r="C14" s="138" t="s">
        <v>182</v>
      </c>
      <c r="D14" s="229" t="s">
        <v>96</v>
      </c>
      <c r="E14" s="211">
        <v>0.01</v>
      </c>
      <c r="F14" s="135">
        <v>1.7849999999999999</v>
      </c>
      <c r="G14" s="229" t="s">
        <v>96</v>
      </c>
      <c r="H14" s="134">
        <f>IF(AND(ISNUMBER(D14),D14&gt;0.0000001),D14/F14,E14/F14)</f>
        <v>5.6022408963585435E-3</v>
      </c>
      <c r="I14" s="224">
        <v>7.6000000000000004E-5</v>
      </c>
      <c r="J14" s="229" t="s">
        <v>96</v>
      </c>
      <c r="K14" s="131">
        <f>ROUND(H14*1000000,-1)</f>
        <v>5600</v>
      </c>
      <c r="L14" s="132">
        <f ca="1">INDIRECT("für_Einstufung!A"&amp;M14)</f>
        <v>0</v>
      </c>
      <c r="M14" s="164">
        <v>40</v>
      </c>
      <c r="N14" s="130">
        <f ca="1">IF(OR(ISNUMBER(INDIRECT("für_Einstufung!"&amp;AH$1&amp;$AG14)),INDIRECT("für_Einstufung!"&amp;AH$1&amp;$AG14)="n.b."),INDIRECT("für_Einstufung!"&amp;AH$1&amp;$AG14),MID(INDIRECT("für_Einstufung!"&amp;AH$1&amp;$AG14),2,20)*1)</f>
        <v>1130</v>
      </c>
      <c r="O14" s="131"/>
      <c r="P14" s="131">
        <f ca="1">IF(OR(ISNUMBER(INDIRECT("für_Einstufung!"&amp;AJ$1&amp;$AG14)),INDIRECT("für_Einstufung!"&amp;AJ$1&amp;$AG14)="n.b."),INDIRECT("für_Einstufung!"&amp;AJ$1&amp;$AG14),MID(INDIRECT("für_Einstufung!"&amp;AJ$1&amp;$AG14),2,20)*1)</f>
        <v>1120</v>
      </c>
      <c r="Q14" s="131"/>
      <c r="R14" s="131">
        <f ca="1">IF(OR(ISNUMBER(INDIRECT("für_Einstufung!"&amp;AL$1&amp;$AG14)),INDIRECT("für_Einstufung!"&amp;AL$1&amp;$AG14)="n.b."),INDIRECT("für_Einstufung!"&amp;AL$1&amp;$AG14),MID(INDIRECT("für_Einstufung!"&amp;AL$1&amp;$AG14),2,20)*1)</f>
        <v>1120</v>
      </c>
      <c r="S14" s="131"/>
      <c r="T14" s="131">
        <f ca="1">IF(OR(ISNUMBER(INDIRECT("für_Einstufung!"&amp;AN$1&amp;$AG14)),INDIRECT("für_Einstufung!"&amp;AN$1&amp;$AG14)="n.b."),INDIRECT("für_Einstufung!"&amp;AN$1&amp;$AG14),MID(INDIRECT("für_Einstufung!"&amp;AN$1&amp;$AG14),2,20)*1)</f>
        <v>1120</v>
      </c>
      <c r="U14" s="131"/>
      <c r="V14" s="157">
        <f ca="1">IF(OR(ISNUMBER(INDIRECT("für_Einstufung!"&amp;AP$1&amp;$AG14)),INDIRECT("für_Einstufung!"&amp;AP$1&amp;$AG14)="n.b."),INDIRECT("für_Einstufung!"&amp;AP$1&amp;$AG14),MID(INDIRECT("für_Einstufung!"&amp;AP$1&amp;$AG14),2,20)*1)</f>
        <v>1120</v>
      </c>
      <c r="W14" s="191">
        <f ca="1">IF(N14="n.b.","n.b.",N14*0.000001/$H14)</f>
        <v>0.201705</v>
      </c>
      <c r="X14" s="129"/>
      <c r="Y14" s="129">
        <f ca="1">IF(P14="n.b.","n.b.",P14*0.000001/$H14)</f>
        <v>0.19991999999999999</v>
      </c>
      <c r="Z14" s="129"/>
      <c r="AA14" s="129">
        <f ca="1">IF(R14="n.b.","n.b.",R14*0.000001/$H14)</f>
        <v>0.19991999999999999</v>
      </c>
      <c r="AB14" s="129"/>
      <c r="AC14" s="129">
        <f ca="1">IF(T14="n.b.","n.b.",T14*0.000001/$H14)</f>
        <v>0.19991999999999999</v>
      </c>
      <c r="AD14" s="129"/>
      <c r="AE14" s="129">
        <f ca="1">IF(V14="n.b.","n.b.",V14*0.000001/$H14)</f>
        <v>0.19991999999999999</v>
      </c>
      <c r="AG14" s="104">
        <v>45</v>
      </c>
      <c r="AH14" s="120" t="str">
        <f ca="1">INDIRECT("für_Einstufung!ai$"&amp;AG14)</f>
        <v>V</v>
      </c>
    </row>
    <row r="15" spans="1:42" ht="15.6" outlineLevel="1" x14ac:dyDescent="0.25">
      <c r="A15" s="210"/>
      <c r="B15" s="209"/>
      <c r="C15" s="208"/>
      <c r="D15" s="208"/>
      <c r="E15" s="208"/>
      <c r="F15" s="208"/>
      <c r="G15" s="208"/>
      <c r="H15" s="207"/>
      <c r="I15" s="206"/>
      <c r="J15" s="206"/>
      <c r="K15" s="206"/>
      <c r="L15" s="205"/>
      <c r="M15" s="204"/>
      <c r="N15" s="204"/>
      <c r="O15" s="204"/>
      <c r="P15" s="204"/>
      <c r="Q15" s="204"/>
      <c r="R15" s="204"/>
      <c r="S15" s="204"/>
      <c r="T15" s="204"/>
      <c r="U15" s="204"/>
      <c r="V15" s="204"/>
      <c r="W15" s="222"/>
      <c r="X15" s="222"/>
      <c r="Y15" s="222"/>
      <c r="Z15" s="222"/>
      <c r="AA15" s="222"/>
      <c r="AB15" s="222"/>
      <c r="AC15" s="222"/>
      <c r="AD15" s="222"/>
      <c r="AE15" s="221"/>
      <c r="AH15" s="120"/>
    </row>
    <row r="16" spans="1:42" ht="16.2" outlineLevel="1" thickBot="1" x14ac:dyDescent="0.3">
      <c r="A16" s="201" t="s">
        <v>144</v>
      </c>
      <c r="B16" s="200"/>
      <c r="C16" s="199"/>
      <c r="D16" s="199"/>
      <c r="E16" s="199"/>
      <c r="F16" s="199"/>
      <c r="G16" s="199"/>
      <c r="H16" s="199"/>
      <c r="I16" s="197"/>
      <c r="J16" s="197"/>
      <c r="K16" s="197"/>
      <c r="L16" s="196"/>
      <c r="M16" s="143"/>
      <c r="N16" s="143"/>
      <c r="O16" s="143"/>
      <c r="P16" s="143"/>
      <c r="Q16" s="143"/>
      <c r="R16" s="143"/>
      <c r="S16" s="143"/>
      <c r="T16" s="143"/>
      <c r="U16" s="143"/>
      <c r="V16" s="143"/>
      <c r="W16" s="220"/>
      <c r="X16" s="220"/>
      <c r="Y16" s="220"/>
      <c r="Z16" s="220"/>
      <c r="AA16" s="220"/>
      <c r="AB16" s="220"/>
      <c r="AC16" s="220"/>
      <c r="AD16" s="220"/>
      <c r="AE16" s="219"/>
      <c r="AH16" s="120"/>
    </row>
    <row r="17" spans="1:34" outlineLevel="1" thickBot="1" x14ac:dyDescent="0.3">
      <c r="A17" s="212" t="s">
        <v>62</v>
      </c>
      <c r="B17" s="138" t="s">
        <v>144</v>
      </c>
      <c r="C17" s="138" t="s">
        <v>181</v>
      </c>
      <c r="D17" s="137">
        <v>1E-3</v>
      </c>
      <c r="E17" s="211">
        <v>0.05</v>
      </c>
      <c r="F17" s="135">
        <v>1.516</v>
      </c>
      <c r="G17" s="134">
        <f t="shared" ref="G17:G25" si="0">D17/F17</f>
        <v>6.5963060686015829E-4</v>
      </c>
      <c r="H17" s="137">
        <f t="shared" ref="H17:H25" si="1">G17*E17/D17</f>
        <v>3.2981530343007916E-2</v>
      </c>
      <c r="I17" s="133">
        <v>2.2000000000000001E-3</v>
      </c>
      <c r="J17" s="131">
        <f>ROUND(G17*1000000,-1)</f>
        <v>660</v>
      </c>
      <c r="K17" s="131">
        <f>ROUND(H17*1000000,-3)</f>
        <v>33000</v>
      </c>
      <c r="L17" s="132">
        <f t="shared" ref="L17:L25" ca="1" si="2">INDIRECT("für_Einstufung!A"&amp;M17)</f>
        <v>0</v>
      </c>
      <c r="M17" s="164">
        <v>15</v>
      </c>
      <c r="N17" s="130">
        <f t="shared" ref="N17:N25" ca="1" si="3">IF(OR(ISNUMBER(INDIRECT("für_Einstufung!"&amp;AH$1&amp;$AG17)),INDIRECT("für_Einstufung!"&amp;AH$1&amp;$AG17)="n.b."),INDIRECT("für_Einstufung!"&amp;AH$1&amp;$AG17),MID(INDIRECT("für_Einstufung!"&amp;AH$1&amp;$AG17),2,20)*1)</f>
        <v>181</v>
      </c>
      <c r="O17" s="131"/>
      <c r="P17" s="131">
        <f t="shared" ref="P17:P25" ca="1" si="4">IF(OR(ISNUMBER(INDIRECT("für_Einstufung!"&amp;AJ$1&amp;$AG17)),INDIRECT("für_Einstufung!"&amp;AJ$1&amp;$AG17)="n.b."),INDIRECT("für_Einstufung!"&amp;AJ$1&amp;$AG17),MID(INDIRECT("für_Einstufung!"&amp;AJ$1&amp;$AG17),2,20)*1)</f>
        <v>180</v>
      </c>
      <c r="Q17" s="131"/>
      <c r="R17" s="131">
        <f t="shared" ref="R17:R25" ca="1" si="5">IF(OR(ISNUMBER(INDIRECT("für_Einstufung!"&amp;AL$1&amp;$AG17)),INDIRECT("für_Einstufung!"&amp;AL$1&amp;$AG17)="n.b."),INDIRECT("für_Einstufung!"&amp;AL$1&amp;$AG17),MID(INDIRECT("für_Einstufung!"&amp;AL$1&amp;$AG17),2,20)*1)</f>
        <v>180</v>
      </c>
      <c r="S17" s="131"/>
      <c r="T17" s="131">
        <f t="shared" ref="T17:T25" ca="1" si="6">IF(OR(ISNUMBER(INDIRECT("für_Einstufung!"&amp;AN$1&amp;$AG17)),INDIRECT("für_Einstufung!"&amp;AN$1&amp;$AG17)="n.b."),INDIRECT("für_Einstufung!"&amp;AN$1&amp;$AG17),MID(INDIRECT("für_Einstufung!"&amp;AN$1&amp;$AG17),2,20)*1)</f>
        <v>180</v>
      </c>
      <c r="U17" s="131"/>
      <c r="V17" s="157">
        <f t="shared" ref="V17:V25" ca="1" si="7">IF(OR(ISNUMBER(INDIRECT("für_Einstufung!"&amp;AP$1&amp;$AG17)),INDIRECT("für_Einstufung!"&amp;AP$1&amp;$AG17)="n.b."),INDIRECT("für_Einstufung!"&amp;AP$1&amp;$AG17),MID(INDIRECT("für_Einstufung!"&amp;AP$1&amp;$AG17),2,20)*1)</f>
        <v>180</v>
      </c>
      <c r="W17" s="191" t="str">
        <f t="shared" ref="W17:W25" ca="1" si="8">IF(N17="n.b.","n.b.",IF(N17*0.000001&lt;$G17,"&lt; Bgr.",N17*0.000001/$H17))</f>
        <v>&lt; Bgr.</v>
      </c>
      <c r="X17" s="129"/>
      <c r="Y17" s="129" t="str">
        <f t="shared" ref="Y17:Y25" ca="1" si="9">IF(P17="n.b.","n.b.",IF(P17*0.000001&lt;$G17,"&lt; Bgr.",P17*0.000001/$H17))</f>
        <v>&lt; Bgr.</v>
      </c>
      <c r="Z17" s="129"/>
      <c r="AA17" s="129" t="str">
        <f t="shared" ref="AA17:AA25" ca="1" si="10">IF(R17="n.b.","n.b.",IF(R17*0.000001&lt;$G17,"&lt; Bgr.",R17*0.000001/$H17))</f>
        <v>&lt; Bgr.</v>
      </c>
      <c r="AB17" s="129"/>
      <c r="AC17" s="129" t="str">
        <f t="shared" ref="AC17:AC25" ca="1" si="11">IF(T17="n.b.","n.b.",IF(T17*0.000001&lt;$G17,"&lt; Bgr.",T17*0.000001/$H17))</f>
        <v>&lt; Bgr.</v>
      </c>
      <c r="AD17" s="129"/>
      <c r="AE17" s="129" t="str">
        <f t="shared" ref="AE17:AE25" ca="1" si="12">IF(V17="n.b.","n.b.",IF(V17*0.000001&lt;$G17,"&lt; Bgr.",V17*0.000001/$H17))</f>
        <v>&lt; Bgr.</v>
      </c>
      <c r="AG17" s="104">
        <v>18</v>
      </c>
      <c r="AH17" s="120" t="str">
        <f t="shared" ref="AH17:AH25" ca="1" si="13">INDIRECT("für_Einstufung!ai$"&amp;AG17)</f>
        <v>Ba</v>
      </c>
    </row>
    <row r="18" spans="1:34" outlineLevel="1" thickBot="1" x14ac:dyDescent="0.3">
      <c r="A18" s="212" t="s">
        <v>170</v>
      </c>
      <c r="B18" s="138" t="s">
        <v>144</v>
      </c>
      <c r="C18" s="138" t="s">
        <v>169</v>
      </c>
      <c r="D18" s="137">
        <v>1E-3</v>
      </c>
      <c r="E18" s="137">
        <v>5.0000000000000001E-3</v>
      </c>
      <c r="F18" s="135">
        <v>3.1150000000000002</v>
      </c>
      <c r="G18" s="134">
        <f t="shared" si="0"/>
        <v>3.2102728731942215E-4</v>
      </c>
      <c r="H18" s="134">
        <f t="shared" si="1"/>
        <v>1.6051364365971107E-3</v>
      </c>
      <c r="I18" s="224">
        <v>8.0000000000000007E-7</v>
      </c>
      <c r="J18" s="131">
        <f>ROUND(G18*1000000,0)</f>
        <v>321</v>
      </c>
      <c r="K18" s="131">
        <f>ROUND(H18*1000000,0)</f>
        <v>1605</v>
      </c>
      <c r="L18" s="132">
        <f t="shared" ca="1" si="2"/>
        <v>0</v>
      </c>
      <c r="M18" s="164">
        <v>21</v>
      </c>
      <c r="N18" s="189">
        <f t="shared" ca="1" si="3"/>
        <v>90.7</v>
      </c>
      <c r="O18" s="188"/>
      <c r="P18" s="188">
        <f t="shared" ca="1" si="4"/>
        <v>89.8</v>
      </c>
      <c r="Q18" s="188"/>
      <c r="R18" s="188">
        <f t="shared" ca="1" si="5"/>
        <v>89.8</v>
      </c>
      <c r="S18" s="188"/>
      <c r="T18" s="188">
        <f t="shared" ca="1" si="6"/>
        <v>89.8</v>
      </c>
      <c r="U18" s="188"/>
      <c r="V18" s="187">
        <f t="shared" ca="1" si="7"/>
        <v>89.8</v>
      </c>
      <c r="W18" s="191" t="str">
        <f t="shared" ca="1" si="8"/>
        <v>&lt; Bgr.</v>
      </c>
      <c r="X18" s="129"/>
      <c r="Y18" s="129" t="str">
        <f t="shared" ca="1" si="9"/>
        <v>&lt; Bgr.</v>
      </c>
      <c r="Z18" s="129"/>
      <c r="AA18" s="129" t="str">
        <f t="shared" ca="1" si="10"/>
        <v>&lt; Bgr.</v>
      </c>
      <c r="AB18" s="129"/>
      <c r="AC18" s="129" t="str">
        <f t="shared" ca="1" si="11"/>
        <v>&lt; Bgr.</v>
      </c>
      <c r="AD18" s="129"/>
      <c r="AE18" s="129" t="str">
        <f t="shared" ca="1" si="12"/>
        <v>&lt; Bgr.</v>
      </c>
      <c r="AG18" s="104">
        <v>25</v>
      </c>
      <c r="AH18" s="120" t="str">
        <f t="shared" ca="1" si="13"/>
        <v>Cr(VI)</v>
      </c>
    </row>
    <row r="19" spans="1:34" outlineLevel="1" thickBot="1" x14ac:dyDescent="0.3">
      <c r="A19" s="212" t="s">
        <v>146</v>
      </c>
      <c r="B19" s="138" t="s">
        <v>144</v>
      </c>
      <c r="C19" s="138" t="s">
        <v>145</v>
      </c>
      <c r="D19" s="137">
        <v>1E-3</v>
      </c>
      <c r="E19" s="137">
        <v>5.0000000000000001E-3</v>
      </c>
      <c r="F19" s="135">
        <v>1.5349999999999999</v>
      </c>
      <c r="G19" s="134">
        <f t="shared" si="0"/>
        <v>6.5146579804560263E-4</v>
      </c>
      <c r="H19" s="134">
        <f t="shared" si="1"/>
        <v>3.2573289902280132E-3</v>
      </c>
      <c r="I19" s="133" t="s">
        <v>143</v>
      </c>
      <c r="J19" s="131">
        <f>ROUND(G19*1000000,0)</f>
        <v>651</v>
      </c>
      <c r="K19" s="131">
        <f>ROUND(H19*1000000,-1)</f>
        <v>3260</v>
      </c>
      <c r="L19" s="132">
        <f t="shared" ca="1" si="2"/>
        <v>0</v>
      </c>
      <c r="M19" s="164">
        <v>70</v>
      </c>
      <c r="N19" s="130">
        <f t="shared" ca="1" si="3"/>
        <v>108</v>
      </c>
      <c r="O19" s="131"/>
      <c r="P19" s="131">
        <f t="shared" ca="1" si="4"/>
        <v>111</v>
      </c>
      <c r="Q19" s="131"/>
      <c r="R19" s="131">
        <f t="shared" ca="1" si="5"/>
        <v>111</v>
      </c>
      <c r="S19" s="131"/>
      <c r="T19" s="131">
        <f t="shared" ca="1" si="6"/>
        <v>111</v>
      </c>
      <c r="U19" s="131"/>
      <c r="V19" s="157">
        <f t="shared" ca="1" si="7"/>
        <v>107</v>
      </c>
      <c r="W19" s="191" t="str">
        <f t="shared" ca="1" si="8"/>
        <v>&lt; Bgr.</v>
      </c>
      <c r="X19" s="129"/>
      <c r="Y19" s="129" t="str">
        <f t="shared" ca="1" si="9"/>
        <v>&lt; Bgr.</v>
      </c>
      <c r="Z19" s="129"/>
      <c r="AA19" s="129" t="str">
        <f t="shared" ca="1" si="10"/>
        <v>&lt; Bgr.</v>
      </c>
      <c r="AB19" s="129"/>
      <c r="AC19" s="129" t="str">
        <f t="shared" ca="1" si="11"/>
        <v>&lt; Bgr.</v>
      </c>
      <c r="AD19" s="129"/>
      <c r="AE19" s="129" t="str">
        <f t="shared" ca="1" si="12"/>
        <v>&lt; Bgr.</v>
      </c>
      <c r="AG19" s="104">
        <v>79</v>
      </c>
      <c r="AH19" s="120" t="str">
        <f t="shared" ca="1" si="13"/>
        <v>Cu_Stoffgr. 2</v>
      </c>
    </row>
    <row r="20" spans="1:34" outlineLevel="1" thickBot="1" x14ac:dyDescent="0.3">
      <c r="A20" s="212" t="s">
        <v>55</v>
      </c>
      <c r="B20" s="138" t="s">
        <v>144</v>
      </c>
      <c r="C20" s="138" t="s">
        <v>180</v>
      </c>
      <c r="D20" s="137">
        <v>1E-3</v>
      </c>
      <c r="E20" s="211">
        <v>0.05</v>
      </c>
      <c r="F20" s="135">
        <v>1.8260000000000001</v>
      </c>
      <c r="G20" s="134">
        <f t="shared" si="0"/>
        <v>5.4764512595837896E-4</v>
      </c>
      <c r="H20" s="136">
        <f t="shared" si="1"/>
        <v>2.7382256297918951E-2</v>
      </c>
      <c r="I20" s="133">
        <v>1.1999999999999999E-3</v>
      </c>
      <c r="J20" s="131">
        <f>ROUND(G20*1000000,0)</f>
        <v>548</v>
      </c>
      <c r="K20" s="131">
        <f>ROUND(H20*1000000,-2)</f>
        <v>27400</v>
      </c>
      <c r="L20" s="132">
        <f t="shared" ca="1" si="2"/>
        <v>0</v>
      </c>
      <c r="M20" s="164">
        <v>23</v>
      </c>
      <c r="N20" s="130">
        <f t="shared" ca="1" si="3"/>
        <v>90.7</v>
      </c>
      <c r="O20" s="131"/>
      <c r="P20" s="131">
        <f t="shared" ca="1" si="4"/>
        <v>89.8</v>
      </c>
      <c r="Q20" s="131"/>
      <c r="R20" s="131">
        <f t="shared" ca="1" si="5"/>
        <v>89.8</v>
      </c>
      <c r="S20" s="131"/>
      <c r="T20" s="131">
        <f t="shared" ca="1" si="6"/>
        <v>89.8</v>
      </c>
      <c r="U20" s="131"/>
      <c r="V20" s="157">
        <f t="shared" ca="1" si="7"/>
        <v>89.8</v>
      </c>
      <c r="W20" s="191" t="str">
        <f t="shared" ca="1" si="8"/>
        <v>&lt; Bgr.</v>
      </c>
      <c r="X20" s="129"/>
      <c r="Y20" s="129" t="str">
        <f t="shared" ca="1" si="9"/>
        <v>&lt; Bgr.</v>
      </c>
      <c r="Z20" s="129"/>
      <c r="AA20" s="129" t="str">
        <f t="shared" ca="1" si="10"/>
        <v>&lt; Bgr.</v>
      </c>
      <c r="AB20" s="129"/>
      <c r="AC20" s="129" t="str">
        <f t="shared" ca="1" si="11"/>
        <v>&lt; Bgr.</v>
      </c>
      <c r="AD20" s="129"/>
      <c r="AE20" s="129" t="str">
        <f t="shared" ca="1" si="12"/>
        <v>&lt; Bgr.</v>
      </c>
      <c r="AG20" s="104">
        <v>27</v>
      </c>
      <c r="AH20" s="120" t="str">
        <f t="shared" ca="1" si="13"/>
        <v>F</v>
      </c>
    </row>
    <row r="21" spans="1:34" outlineLevel="1" thickBot="1" x14ac:dyDescent="0.3">
      <c r="A21" s="212" t="s">
        <v>53</v>
      </c>
      <c r="B21" s="138" t="s">
        <v>144</v>
      </c>
      <c r="C21" s="138" t="s">
        <v>179</v>
      </c>
      <c r="D21" s="137">
        <v>1E-3</v>
      </c>
      <c r="E21" s="136">
        <v>2.5000000000000001E-3</v>
      </c>
      <c r="F21" s="135">
        <v>1.4790000000000001</v>
      </c>
      <c r="G21" s="134">
        <f t="shared" si="0"/>
        <v>6.7613252197430695E-4</v>
      </c>
      <c r="H21" s="134">
        <f t="shared" si="1"/>
        <v>1.6903313049357674E-3</v>
      </c>
      <c r="I21" s="224">
        <v>7.2999999999999996E-6</v>
      </c>
      <c r="J21" s="131">
        <f>ROUND(G21*1000000,0)</f>
        <v>676</v>
      </c>
      <c r="K21" s="131">
        <f>ROUND(H21*1000000,-1)</f>
        <v>1690</v>
      </c>
      <c r="L21" s="132">
        <f t="shared" ca="1" si="2"/>
        <v>0</v>
      </c>
      <c r="M21" s="164">
        <v>25</v>
      </c>
      <c r="N21" s="189">
        <f t="shared" ca="1" si="3"/>
        <v>453</v>
      </c>
      <c r="O21" s="188"/>
      <c r="P21" s="188">
        <f t="shared" ca="1" si="4"/>
        <v>449</v>
      </c>
      <c r="Q21" s="188"/>
      <c r="R21" s="188">
        <f t="shared" ca="1" si="5"/>
        <v>449</v>
      </c>
      <c r="S21" s="188"/>
      <c r="T21" s="188">
        <f t="shared" ca="1" si="6"/>
        <v>449</v>
      </c>
      <c r="U21" s="188"/>
      <c r="V21" s="187">
        <f t="shared" ca="1" si="7"/>
        <v>449</v>
      </c>
      <c r="W21" s="191" t="str">
        <f t="shared" ca="1" si="8"/>
        <v>&lt; Bgr.</v>
      </c>
      <c r="X21" s="129"/>
      <c r="Y21" s="129" t="str">
        <f t="shared" ca="1" si="9"/>
        <v>&lt; Bgr.</v>
      </c>
      <c r="Z21" s="129"/>
      <c r="AA21" s="129" t="str">
        <f t="shared" ca="1" si="10"/>
        <v>&lt; Bgr.</v>
      </c>
      <c r="AB21" s="129"/>
      <c r="AC21" s="129" t="str">
        <f t="shared" ca="1" si="11"/>
        <v>&lt; Bgr.</v>
      </c>
      <c r="AD21" s="129"/>
      <c r="AE21" s="129" t="str">
        <f t="shared" ca="1" si="12"/>
        <v>&lt; Bgr.</v>
      </c>
      <c r="AG21" s="104">
        <v>29</v>
      </c>
      <c r="AH21" s="120" t="str">
        <f t="shared" ca="1" si="13"/>
        <v>Hg</v>
      </c>
    </row>
    <row r="22" spans="1:34" outlineLevel="1" thickBot="1" x14ac:dyDescent="0.3">
      <c r="A22" s="212" t="s">
        <v>51</v>
      </c>
      <c r="B22" s="138" t="s">
        <v>144</v>
      </c>
      <c r="C22" s="138" t="s">
        <v>178</v>
      </c>
      <c r="D22" s="211">
        <v>0.01</v>
      </c>
      <c r="E22" s="137">
        <v>0.22500000000000001</v>
      </c>
      <c r="F22" s="135">
        <v>1.5820000000000001</v>
      </c>
      <c r="G22" s="134">
        <f t="shared" si="0"/>
        <v>6.321112515802781E-3</v>
      </c>
      <c r="H22" s="134">
        <f t="shared" si="1"/>
        <v>0.14222503160556257</v>
      </c>
      <c r="I22" s="133">
        <v>2E-3</v>
      </c>
      <c r="J22" s="131">
        <f>ROUND(G22*1000000,-1)</f>
        <v>6320</v>
      </c>
      <c r="K22" s="131">
        <f>ROUND(H22*1000000,-3)</f>
        <v>142000</v>
      </c>
      <c r="L22" s="132">
        <f t="shared" ca="1" si="2"/>
        <v>0</v>
      </c>
      <c r="M22" s="164">
        <v>28</v>
      </c>
      <c r="N22" s="130">
        <f t="shared" ca="1" si="3"/>
        <v>589</v>
      </c>
      <c r="O22" s="131"/>
      <c r="P22" s="131">
        <f t="shared" ca="1" si="4"/>
        <v>584</v>
      </c>
      <c r="Q22" s="131"/>
      <c r="R22" s="131">
        <f t="shared" ca="1" si="5"/>
        <v>584</v>
      </c>
      <c r="S22" s="131"/>
      <c r="T22" s="131">
        <f t="shared" ca="1" si="6"/>
        <v>584</v>
      </c>
      <c r="U22" s="131"/>
      <c r="V22" s="157">
        <f t="shared" ca="1" si="7"/>
        <v>584</v>
      </c>
      <c r="W22" s="191" t="str">
        <f t="shared" ca="1" si="8"/>
        <v>&lt; Bgr.</v>
      </c>
      <c r="X22" s="129"/>
      <c r="Y22" s="129" t="str">
        <f t="shared" ca="1" si="9"/>
        <v>&lt; Bgr.</v>
      </c>
      <c r="Z22" s="129"/>
      <c r="AA22" s="129" t="str">
        <f t="shared" ca="1" si="10"/>
        <v>&lt; Bgr.</v>
      </c>
      <c r="AB22" s="129"/>
      <c r="AC22" s="129" t="str">
        <f t="shared" ca="1" si="11"/>
        <v>&lt; Bgr.</v>
      </c>
      <c r="AD22" s="129"/>
      <c r="AE22" s="129" t="str">
        <f t="shared" ca="1" si="12"/>
        <v>&lt; Bgr.</v>
      </c>
      <c r="AG22" s="104">
        <v>32</v>
      </c>
      <c r="AH22" s="120" t="str">
        <f t="shared" ca="1" si="13"/>
        <v>Mn</v>
      </c>
    </row>
    <row r="23" spans="1:34" outlineLevel="1" thickBot="1" x14ac:dyDescent="0.3">
      <c r="A23" s="212" t="s">
        <v>46</v>
      </c>
      <c r="B23" s="138" t="s">
        <v>144</v>
      </c>
      <c r="C23" s="138" t="s">
        <v>177</v>
      </c>
      <c r="D23" s="137">
        <v>1E-3</v>
      </c>
      <c r="E23" s="136">
        <v>2.5000000000000001E-3</v>
      </c>
      <c r="F23" s="190">
        <v>2.19</v>
      </c>
      <c r="G23" s="134">
        <f t="shared" si="0"/>
        <v>4.5662100456621009E-4</v>
      </c>
      <c r="H23" s="134">
        <f t="shared" si="1"/>
        <v>1.1415525114155251E-3</v>
      </c>
      <c r="I23" s="224">
        <v>1.2999999999999999E-5</v>
      </c>
      <c r="J23" s="131">
        <f>ROUND(G23*1000000,0)</f>
        <v>457</v>
      </c>
      <c r="K23" s="131">
        <f>ROUND(H23*1000000,0)</f>
        <v>1142</v>
      </c>
      <c r="L23" s="132">
        <f t="shared" ca="1" si="2"/>
        <v>0</v>
      </c>
      <c r="M23" s="164">
        <v>36</v>
      </c>
      <c r="N23" s="189">
        <f t="shared" ca="1" si="3"/>
        <v>907</v>
      </c>
      <c r="O23" s="188"/>
      <c r="P23" s="188">
        <f t="shared" ca="1" si="4"/>
        <v>898</v>
      </c>
      <c r="Q23" s="188"/>
      <c r="R23" s="188">
        <f t="shared" ca="1" si="5"/>
        <v>898</v>
      </c>
      <c r="S23" s="188"/>
      <c r="T23" s="188">
        <f t="shared" ca="1" si="6"/>
        <v>898</v>
      </c>
      <c r="U23" s="188"/>
      <c r="V23" s="187">
        <f t="shared" ca="1" si="7"/>
        <v>898</v>
      </c>
      <c r="W23" s="191">
        <f t="shared" ca="1" si="8"/>
        <v>0.79453200000000002</v>
      </c>
      <c r="X23" s="129"/>
      <c r="Y23" s="129">
        <f t="shared" ca="1" si="9"/>
        <v>0.78664800000000001</v>
      </c>
      <c r="Z23" s="129"/>
      <c r="AA23" s="129">
        <f t="shared" ca="1" si="10"/>
        <v>0.78664800000000001</v>
      </c>
      <c r="AB23" s="129"/>
      <c r="AC23" s="129">
        <f t="shared" ca="1" si="11"/>
        <v>0.78664800000000001</v>
      </c>
      <c r="AD23" s="129"/>
      <c r="AE23" s="129">
        <f t="shared" ca="1" si="12"/>
        <v>0.78664800000000001</v>
      </c>
      <c r="AG23" s="104">
        <v>40</v>
      </c>
      <c r="AH23" s="120" t="str">
        <f t="shared" ca="1" si="13"/>
        <v>Se</v>
      </c>
    </row>
    <row r="24" spans="1:34" outlineLevel="1" thickBot="1" x14ac:dyDescent="0.3">
      <c r="A24" s="212" t="s">
        <v>42</v>
      </c>
      <c r="B24" s="138" t="s">
        <v>144</v>
      </c>
      <c r="C24" s="138" t="s">
        <v>176</v>
      </c>
      <c r="D24" s="137">
        <v>1E-3</v>
      </c>
      <c r="E24" s="136">
        <v>2.5000000000000001E-3</v>
      </c>
      <c r="F24" s="190">
        <v>1.2350000000000001</v>
      </c>
      <c r="G24" s="134">
        <f t="shared" si="0"/>
        <v>8.0971659919028337E-4</v>
      </c>
      <c r="H24" s="134">
        <f t="shared" si="1"/>
        <v>2.0242914979757085E-3</v>
      </c>
      <c r="I24" s="224">
        <v>2.8999999999999997E-5</v>
      </c>
      <c r="J24" s="131">
        <f>ROUND(G24*1000000,0)</f>
        <v>810</v>
      </c>
      <c r="K24" s="131">
        <f>ROUND(H24*1000000,0)</f>
        <v>2024</v>
      </c>
      <c r="L24" s="132">
        <f t="shared" ca="1" si="2"/>
        <v>0</v>
      </c>
      <c r="M24" s="164">
        <v>39</v>
      </c>
      <c r="N24" s="189">
        <f t="shared" ca="1" si="3"/>
        <v>1090</v>
      </c>
      <c r="O24" s="188"/>
      <c r="P24" s="188">
        <f t="shared" ca="1" si="4"/>
        <v>1080</v>
      </c>
      <c r="Q24" s="188"/>
      <c r="R24" s="188">
        <f t="shared" ca="1" si="5"/>
        <v>1080</v>
      </c>
      <c r="S24" s="188"/>
      <c r="T24" s="188">
        <f t="shared" ca="1" si="6"/>
        <v>1080</v>
      </c>
      <c r="U24" s="188"/>
      <c r="V24" s="187">
        <f t="shared" ca="1" si="7"/>
        <v>1080</v>
      </c>
      <c r="W24" s="191">
        <f t="shared" ca="1" si="8"/>
        <v>0.53846000000000005</v>
      </c>
      <c r="X24" s="129"/>
      <c r="Y24" s="129">
        <f t="shared" ca="1" si="9"/>
        <v>0.53351999999999999</v>
      </c>
      <c r="Z24" s="129"/>
      <c r="AA24" s="129">
        <f t="shared" ca="1" si="10"/>
        <v>0.53351999999999999</v>
      </c>
      <c r="AB24" s="129"/>
      <c r="AC24" s="129">
        <f t="shared" ca="1" si="11"/>
        <v>0.53351999999999999</v>
      </c>
      <c r="AD24" s="129"/>
      <c r="AE24" s="129">
        <f t="shared" ca="1" si="12"/>
        <v>0.53351999999999999</v>
      </c>
      <c r="AG24" s="104">
        <v>44</v>
      </c>
      <c r="AH24" s="120" t="str">
        <f t="shared" ca="1" si="13"/>
        <v>Tl</v>
      </c>
    </row>
    <row r="25" spans="1:34" outlineLevel="1" thickBot="1" x14ac:dyDescent="0.3">
      <c r="A25" s="212" t="s">
        <v>30</v>
      </c>
      <c r="B25" s="138" t="s">
        <v>144</v>
      </c>
      <c r="C25" s="138" t="s">
        <v>130</v>
      </c>
      <c r="D25" s="137">
        <v>0.01</v>
      </c>
      <c r="E25" s="211">
        <v>0.25</v>
      </c>
      <c r="F25" s="190">
        <v>2.4700000000000002</v>
      </c>
      <c r="G25" s="134">
        <f t="shared" si="0"/>
        <v>4.048582995951417E-3</v>
      </c>
      <c r="H25" s="137">
        <f t="shared" si="1"/>
        <v>0.10121457489878542</v>
      </c>
      <c r="I25" s="133" t="s">
        <v>143</v>
      </c>
      <c r="J25" s="131">
        <f>ROUND(G25*1000000,-1)</f>
        <v>4050</v>
      </c>
      <c r="K25" s="131">
        <f>ROUND(H25*1000000,-3)</f>
        <v>101000</v>
      </c>
      <c r="L25" s="132">
        <f t="shared" ca="1" si="2"/>
        <v>0</v>
      </c>
      <c r="M25" s="164">
        <v>41</v>
      </c>
      <c r="N25" s="130">
        <f t="shared" ca="1" si="3"/>
        <v>1130</v>
      </c>
      <c r="O25" s="131"/>
      <c r="P25" s="131">
        <f t="shared" ca="1" si="4"/>
        <v>1120</v>
      </c>
      <c r="Q25" s="131"/>
      <c r="R25" s="131">
        <f t="shared" ca="1" si="5"/>
        <v>1120</v>
      </c>
      <c r="S25" s="131"/>
      <c r="T25" s="131">
        <f t="shared" ca="1" si="6"/>
        <v>1120</v>
      </c>
      <c r="U25" s="131"/>
      <c r="V25" s="157">
        <f t="shared" ca="1" si="7"/>
        <v>1120</v>
      </c>
      <c r="W25" s="191" t="str">
        <f t="shared" ca="1" si="8"/>
        <v>&lt; Bgr.</v>
      </c>
      <c r="X25" s="129"/>
      <c r="Y25" s="129" t="str">
        <f t="shared" ca="1" si="9"/>
        <v>&lt; Bgr.</v>
      </c>
      <c r="Z25" s="129"/>
      <c r="AA25" s="129" t="str">
        <f t="shared" ca="1" si="10"/>
        <v>&lt; Bgr.</v>
      </c>
      <c r="AB25" s="129"/>
      <c r="AC25" s="129" t="str">
        <f t="shared" ca="1" si="11"/>
        <v>&lt; Bgr.</v>
      </c>
      <c r="AD25" s="129"/>
      <c r="AE25" s="129" t="str">
        <f t="shared" ca="1" si="12"/>
        <v>&lt; Bgr.</v>
      </c>
      <c r="AG25" s="104">
        <v>46</v>
      </c>
      <c r="AH25" s="120" t="str">
        <f t="shared" ca="1" si="13"/>
        <v>Zn</v>
      </c>
    </row>
    <row r="26" spans="1:34" outlineLevel="1" thickBot="1" x14ac:dyDescent="0.35">
      <c r="A26" s="227" t="s">
        <v>175</v>
      </c>
      <c r="G26" s="175"/>
      <c r="H26" s="175"/>
      <c r="I26" s="93"/>
      <c r="J26" s="93"/>
      <c r="K26" s="93"/>
      <c r="L26" s="109"/>
      <c r="M26" s="93"/>
      <c r="N26" s="93"/>
      <c r="O26" s="93"/>
      <c r="P26" s="93"/>
      <c r="Q26" s="93"/>
      <c r="R26" s="93"/>
      <c r="S26" s="93"/>
      <c r="T26" s="93"/>
      <c r="U26" s="93"/>
      <c r="V26" s="226"/>
      <c r="W26" s="191">
        <f ca="1">SUM(W17:W25)</f>
        <v>1.332992</v>
      </c>
      <c r="X26" s="129"/>
      <c r="Y26" s="129">
        <f ca="1">SUM(Y17:Y25)</f>
        <v>1.320168</v>
      </c>
      <c r="Z26" s="129"/>
      <c r="AA26" s="129">
        <f ca="1">SUM(AA17:AA25)</f>
        <v>1.320168</v>
      </c>
      <c r="AB26" s="129"/>
      <c r="AC26" s="129">
        <f ca="1">SUM(AC17:AC25)</f>
        <v>1.320168</v>
      </c>
      <c r="AD26" s="129"/>
      <c r="AE26" s="129">
        <f ca="1">SUM(AE17:AE25)</f>
        <v>1.320168</v>
      </c>
      <c r="AH26" s="120"/>
    </row>
    <row r="27" spans="1:34" ht="15.6" outlineLevel="1" x14ac:dyDescent="0.25">
      <c r="A27" s="210"/>
      <c r="B27" s="209"/>
      <c r="C27" s="208"/>
      <c r="D27" s="208"/>
      <c r="E27" s="208"/>
      <c r="F27" s="208"/>
      <c r="G27" s="208"/>
      <c r="H27" s="208"/>
      <c r="I27" s="206"/>
      <c r="J27" s="206"/>
      <c r="K27" s="206"/>
      <c r="L27" s="205"/>
      <c r="M27" s="204"/>
      <c r="N27" s="204"/>
      <c r="O27" s="204"/>
      <c r="P27" s="204"/>
      <c r="Q27" s="204"/>
      <c r="R27" s="204"/>
      <c r="S27" s="204"/>
      <c r="T27" s="204"/>
      <c r="U27" s="204"/>
      <c r="V27" s="225"/>
      <c r="W27" s="222"/>
      <c r="X27" s="222"/>
      <c r="Y27" s="222"/>
      <c r="Z27" s="222"/>
      <c r="AA27" s="222"/>
      <c r="AB27" s="222"/>
      <c r="AC27" s="222"/>
      <c r="AD27" s="222"/>
      <c r="AE27" s="221"/>
      <c r="AH27" s="120"/>
    </row>
    <row r="28" spans="1:34" ht="16.2" outlineLevel="1" thickBot="1" x14ac:dyDescent="0.3">
      <c r="A28" s="201" t="s">
        <v>164</v>
      </c>
      <c r="B28" s="200"/>
      <c r="C28" s="199"/>
      <c r="D28" s="199"/>
      <c r="E28" s="199"/>
      <c r="F28" s="199"/>
      <c r="G28" s="199"/>
      <c r="H28" s="199"/>
      <c r="I28" s="197"/>
      <c r="J28" s="197"/>
      <c r="K28" s="197"/>
      <c r="L28" s="196"/>
      <c r="M28" s="143"/>
      <c r="N28" s="143"/>
      <c r="O28" s="143"/>
      <c r="P28" s="143"/>
      <c r="Q28" s="143"/>
      <c r="R28" s="143"/>
      <c r="S28" s="143"/>
      <c r="T28" s="143"/>
      <c r="U28" s="143"/>
      <c r="V28" s="143"/>
      <c r="W28" s="220"/>
      <c r="X28" s="220"/>
      <c r="Y28" s="220"/>
      <c r="Z28" s="220"/>
      <c r="AA28" s="220"/>
      <c r="AB28" s="220"/>
      <c r="AC28" s="220"/>
      <c r="AD28" s="220"/>
      <c r="AE28" s="219"/>
      <c r="AH28" s="120"/>
    </row>
    <row r="29" spans="1:34" outlineLevel="1" thickBot="1" x14ac:dyDescent="0.3">
      <c r="A29" s="212" t="s">
        <v>64</v>
      </c>
      <c r="B29" s="138" t="s">
        <v>164</v>
      </c>
      <c r="C29" s="138" t="s">
        <v>174</v>
      </c>
      <c r="D29" s="223" t="s">
        <v>96</v>
      </c>
      <c r="E29" s="137">
        <v>1E-3</v>
      </c>
      <c r="F29" s="135">
        <v>1.575</v>
      </c>
      <c r="G29" s="223" t="s">
        <v>96</v>
      </c>
      <c r="H29" s="134">
        <f t="shared" ref="H29:H37" si="14">IF(AND(ISNUMBER(D29),D29&gt;0.0000001),D29/F29,E29/F29)</f>
        <v>6.3492063492063492E-4</v>
      </c>
      <c r="I29" s="224">
        <v>0</v>
      </c>
      <c r="J29" s="223" t="s">
        <v>96</v>
      </c>
      <c r="K29" s="131">
        <f>ROUND(H29*1000000,0)</f>
        <v>635</v>
      </c>
      <c r="L29" s="132">
        <f t="shared" ref="L29:L37" ca="1" si="15">INDIRECT("für_Einstufung!A"&amp;M29)</f>
        <v>0</v>
      </c>
      <c r="M29" s="164">
        <v>13</v>
      </c>
      <c r="N29" s="189">
        <f ca="1">IF(OR(ISNUMBER(INDIRECT("für_Einstufung!"&amp;AH$1&amp;$AG29)),INDIRECT("für_Einstufung!"&amp;AH$1&amp;$AG29)="n.b."),INDIRECT("für_Einstufung!"&amp;AH$1&amp;$AG29),MID(INDIRECT("für_Einstufung!"&amp;AH$1&amp;$AG29),1,20)*1)</f>
        <v>90.7</v>
      </c>
      <c r="O29" s="188"/>
      <c r="P29" s="188">
        <f t="shared" ref="P29:P37" ca="1" si="16">IF(OR(ISNUMBER(INDIRECT("für_Einstufung!"&amp;AJ$1&amp;$AG29)),INDIRECT("für_Einstufung!"&amp;AJ$1&amp;$AG29)="n.b."),INDIRECT("für_Einstufung!"&amp;AJ$1&amp;$AG29),MID(INDIRECT("für_Einstufung!"&amp;AJ$1&amp;$AG29),2,20)*1)</f>
        <v>89.8</v>
      </c>
      <c r="Q29" s="188"/>
      <c r="R29" s="188">
        <f t="shared" ref="R29:R37" ca="1" si="17">IF(OR(ISNUMBER(INDIRECT("für_Einstufung!"&amp;AL$1&amp;$AG29)),INDIRECT("für_Einstufung!"&amp;AL$1&amp;$AG29)="n.b."),INDIRECT("für_Einstufung!"&amp;AL$1&amp;$AG29),MID(INDIRECT("für_Einstufung!"&amp;AL$1&amp;$AG29),2,20)*1)</f>
        <v>89.8</v>
      </c>
      <c r="S29" s="188"/>
      <c r="T29" s="188">
        <f t="shared" ref="T29:T37" ca="1" si="18">IF(OR(ISNUMBER(INDIRECT("für_Einstufung!"&amp;AN$1&amp;$AG29)),INDIRECT("für_Einstufung!"&amp;AN$1&amp;$AG29)="n.b."),INDIRECT("für_Einstufung!"&amp;AN$1&amp;$AG29),MID(INDIRECT("für_Einstufung!"&amp;AN$1&amp;$AG29),2,20)*1)</f>
        <v>89.8</v>
      </c>
      <c r="U29" s="188"/>
      <c r="V29" s="187">
        <f t="shared" ref="V29:V37" ca="1" si="19">IF(OR(ISNUMBER(INDIRECT("für_Einstufung!"&amp;AP$1&amp;$AG29)),INDIRECT("für_Einstufung!"&amp;AP$1&amp;$AG29)="n.b."),INDIRECT("für_Einstufung!"&amp;AP$1&amp;$AG29),MID(INDIRECT("für_Einstufung!"&amp;AP$1&amp;$AG29),2,20)*1)</f>
        <v>89.8</v>
      </c>
      <c r="W29" s="141">
        <f t="shared" ref="W29:W37" ca="1" si="20">IF(N29="n.b.","n.b.",N29*0.000001/$H29)</f>
        <v>0.14285249999999999</v>
      </c>
      <c r="X29" s="141"/>
      <c r="Y29" s="141">
        <f t="shared" ref="Y29:Y37" ca="1" si="21">IF(P29="n.b.","n.b.",P29*0.000001/$H29)</f>
        <v>0.14143499999999998</v>
      </c>
      <c r="Z29" s="141"/>
      <c r="AA29" s="141">
        <f t="shared" ref="AA29:AA37" ca="1" si="22">IF(R29="n.b.","n.b.",R29*0.000001/$H29)</f>
        <v>0.14143499999999998</v>
      </c>
      <c r="AB29" s="141"/>
      <c r="AC29" s="141">
        <f t="shared" ref="AC29:AC37" ca="1" si="23">IF(T29="n.b.","n.b.",T29*0.000001/$H29)</f>
        <v>0.14143499999999998</v>
      </c>
      <c r="AD29" s="141"/>
      <c r="AE29" s="141">
        <f t="shared" ref="AE29:AE37" ca="1" si="24">IF(V29="n.b.","n.b.",V29*0.000001/$H29)</f>
        <v>0.14143499999999998</v>
      </c>
      <c r="AG29" s="104">
        <v>16</v>
      </c>
      <c r="AH29" s="120" t="str">
        <f t="shared" ref="AH29:AH37" ca="1" si="25">INDIRECT("für_Einstufung!ai$"&amp;AG29)</f>
        <v>As</v>
      </c>
    </row>
    <row r="30" spans="1:34" outlineLevel="1" thickBot="1" x14ac:dyDescent="0.3">
      <c r="A30" s="212" t="s">
        <v>61</v>
      </c>
      <c r="B30" s="138" t="s">
        <v>164</v>
      </c>
      <c r="C30" s="138" t="s">
        <v>173</v>
      </c>
      <c r="D30" s="229" t="s">
        <v>96</v>
      </c>
      <c r="E30" s="137">
        <v>1E-3</v>
      </c>
      <c r="F30" s="135">
        <v>4.774</v>
      </c>
      <c r="G30" s="229" t="s">
        <v>96</v>
      </c>
      <c r="H30" s="134">
        <f t="shared" si="14"/>
        <v>2.0946795140343527E-4</v>
      </c>
      <c r="I30" s="224">
        <v>2.3E-6</v>
      </c>
      <c r="J30" s="229" t="s">
        <v>96</v>
      </c>
      <c r="K30" s="131">
        <f>ROUND(H30*1000000,0)</f>
        <v>209</v>
      </c>
      <c r="L30" s="132">
        <f t="shared" ca="1" si="15"/>
        <v>0</v>
      </c>
      <c r="M30" s="164">
        <v>16</v>
      </c>
      <c r="N30" s="189">
        <f t="shared" ref="N30:N37" ca="1" si="26">IF(OR(ISNUMBER(INDIRECT("für_Einstufung!"&amp;AH$1&amp;$AG30)),INDIRECT("für_Einstufung!"&amp;AH$1&amp;$AG30)="n.b."),INDIRECT("für_Einstufung!"&amp;AH$1&amp;$AG30),MID(INDIRECT("für_Einstufung!"&amp;AH$1&amp;$AG30),2,20)*1)</f>
        <v>227</v>
      </c>
      <c r="O30" s="188"/>
      <c r="P30" s="188">
        <f t="shared" ca="1" si="16"/>
        <v>225</v>
      </c>
      <c r="Q30" s="188"/>
      <c r="R30" s="188">
        <f t="shared" ca="1" si="17"/>
        <v>225</v>
      </c>
      <c r="S30" s="188"/>
      <c r="T30" s="188">
        <f t="shared" ca="1" si="18"/>
        <v>225</v>
      </c>
      <c r="U30" s="188"/>
      <c r="V30" s="187">
        <f t="shared" ca="1" si="19"/>
        <v>225</v>
      </c>
      <c r="W30" s="141">
        <f t="shared" ca="1" si="20"/>
        <v>1.0836980000000001</v>
      </c>
      <c r="X30" s="141"/>
      <c r="Y30" s="141">
        <f t="shared" ca="1" si="21"/>
        <v>1.0741499999999999</v>
      </c>
      <c r="Z30" s="141"/>
      <c r="AA30" s="141">
        <f t="shared" ca="1" si="22"/>
        <v>1.0741499999999999</v>
      </c>
      <c r="AB30" s="141"/>
      <c r="AC30" s="141">
        <f t="shared" ca="1" si="23"/>
        <v>1.0741499999999999</v>
      </c>
      <c r="AD30" s="141"/>
      <c r="AE30" s="141">
        <f t="shared" ca="1" si="24"/>
        <v>1.0741499999999999</v>
      </c>
      <c r="AG30" s="104">
        <v>19</v>
      </c>
      <c r="AH30" s="120" t="str">
        <f t="shared" ca="1" si="25"/>
        <v>Be</v>
      </c>
    </row>
    <row r="31" spans="1:34" outlineLevel="1" thickBot="1" x14ac:dyDescent="0.3">
      <c r="A31" s="212" t="s">
        <v>59</v>
      </c>
      <c r="B31" s="138" t="s">
        <v>167</v>
      </c>
      <c r="C31" s="138" t="s">
        <v>172</v>
      </c>
      <c r="D31" s="223" t="s">
        <v>96</v>
      </c>
      <c r="E31" s="137">
        <v>1E-3</v>
      </c>
      <c r="F31" s="135">
        <v>1.855</v>
      </c>
      <c r="G31" s="223" t="s">
        <v>96</v>
      </c>
      <c r="H31" s="134">
        <f t="shared" si="14"/>
        <v>5.3908355795148253E-4</v>
      </c>
      <c r="I31" s="224">
        <v>1.4E-5</v>
      </c>
      <c r="J31" s="223" t="s">
        <v>96</v>
      </c>
      <c r="K31" s="131">
        <f>ROUND(H31*1000000,0)</f>
        <v>539</v>
      </c>
      <c r="L31" s="132">
        <f t="shared" ca="1" si="15"/>
        <v>0</v>
      </c>
      <c r="M31" s="164">
        <v>18</v>
      </c>
      <c r="N31" s="130">
        <f t="shared" ca="1" si="26"/>
        <v>272</v>
      </c>
      <c r="O31" s="131"/>
      <c r="P31" s="131">
        <f t="shared" ca="1" si="16"/>
        <v>269</v>
      </c>
      <c r="Q31" s="131"/>
      <c r="R31" s="131">
        <f t="shared" ca="1" si="17"/>
        <v>269</v>
      </c>
      <c r="S31" s="131"/>
      <c r="T31" s="131">
        <f t="shared" ca="1" si="18"/>
        <v>269</v>
      </c>
      <c r="U31" s="131"/>
      <c r="V31" s="187">
        <f t="shared" ca="1" si="19"/>
        <v>269</v>
      </c>
      <c r="W31" s="141">
        <f t="shared" ca="1" si="20"/>
        <v>0.5045599999999999</v>
      </c>
      <c r="X31" s="141"/>
      <c r="Y31" s="141">
        <f t="shared" ca="1" si="21"/>
        <v>0.49899499999999991</v>
      </c>
      <c r="Z31" s="141"/>
      <c r="AA31" s="141">
        <f t="shared" ca="1" si="22"/>
        <v>0.49899499999999991</v>
      </c>
      <c r="AB31" s="141"/>
      <c r="AC31" s="141">
        <f t="shared" ca="1" si="23"/>
        <v>0.49899499999999991</v>
      </c>
      <c r="AD31" s="141"/>
      <c r="AE31" s="141">
        <f t="shared" ca="1" si="24"/>
        <v>0.49899499999999991</v>
      </c>
      <c r="AG31" s="104">
        <v>22</v>
      </c>
      <c r="AH31" s="120" t="str">
        <f t="shared" ca="1" si="25"/>
        <v>Cd</v>
      </c>
    </row>
    <row r="32" spans="1:34" outlineLevel="1" thickBot="1" x14ac:dyDescent="0.3">
      <c r="A32" s="212" t="s">
        <v>58</v>
      </c>
      <c r="B32" s="138" t="s">
        <v>164</v>
      </c>
      <c r="C32" s="138" t="s">
        <v>171</v>
      </c>
      <c r="D32" s="229" t="s">
        <v>96</v>
      </c>
      <c r="E32" s="137">
        <v>1E-3</v>
      </c>
      <c r="F32" s="135">
        <v>3.1040000000000001</v>
      </c>
      <c r="G32" s="229" t="s">
        <v>96</v>
      </c>
      <c r="H32" s="134">
        <f t="shared" si="14"/>
        <v>3.2216494845360824E-4</v>
      </c>
      <c r="I32" s="224">
        <v>9.1000000000000003E-5</v>
      </c>
      <c r="J32" s="229" t="s">
        <v>96</v>
      </c>
      <c r="K32" s="131">
        <f>ROUND(H32*1000000,0)</f>
        <v>322</v>
      </c>
      <c r="L32" s="132">
        <f t="shared" ca="1" si="15"/>
        <v>0</v>
      </c>
      <c r="M32" s="164">
        <v>19</v>
      </c>
      <c r="N32" s="130">
        <f t="shared" ca="1" si="26"/>
        <v>317</v>
      </c>
      <c r="O32" s="131"/>
      <c r="P32" s="131">
        <f t="shared" ca="1" si="16"/>
        <v>314</v>
      </c>
      <c r="Q32" s="131"/>
      <c r="R32" s="131">
        <f t="shared" ca="1" si="17"/>
        <v>314</v>
      </c>
      <c r="S32" s="131"/>
      <c r="T32" s="131">
        <f t="shared" ca="1" si="18"/>
        <v>314</v>
      </c>
      <c r="U32" s="131"/>
      <c r="V32" s="157">
        <f t="shared" ca="1" si="19"/>
        <v>314</v>
      </c>
      <c r="W32" s="141">
        <f t="shared" ca="1" si="20"/>
        <v>0.98396800000000006</v>
      </c>
      <c r="X32" s="141"/>
      <c r="Y32" s="141">
        <f t="shared" ca="1" si="21"/>
        <v>0.97465599999999997</v>
      </c>
      <c r="Z32" s="141"/>
      <c r="AA32" s="141">
        <f t="shared" ca="1" si="22"/>
        <v>0.97465599999999997</v>
      </c>
      <c r="AB32" s="141"/>
      <c r="AC32" s="141">
        <f t="shared" ca="1" si="23"/>
        <v>0.97465599999999997</v>
      </c>
      <c r="AD32" s="141"/>
      <c r="AE32" s="141">
        <f t="shared" ca="1" si="24"/>
        <v>0.97465599999999997</v>
      </c>
      <c r="AG32" s="104">
        <v>23</v>
      </c>
      <c r="AH32" s="120" t="str">
        <f t="shared" ca="1" si="25"/>
        <v>Co</v>
      </c>
    </row>
    <row r="33" spans="1:34" outlineLevel="1" thickBot="1" x14ac:dyDescent="0.3">
      <c r="A33" s="212" t="s">
        <v>170</v>
      </c>
      <c r="B33" s="138" t="s">
        <v>164</v>
      </c>
      <c r="C33" s="138" t="s">
        <v>169</v>
      </c>
      <c r="D33" s="223" t="s">
        <v>96</v>
      </c>
      <c r="E33" s="137">
        <v>1E-3</v>
      </c>
      <c r="F33" s="135">
        <v>3.1150000000000002</v>
      </c>
      <c r="G33" s="223" t="s">
        <v>96</v>
      </c>
      <c r="H33" s="134">
        <f t="shared" si="14"/>
        <v>3.2102728731942215E-4</v>
      </c>
      <c r="I33" s="224">
        <v>8.0000000000000007E-7</v>
      </c>
      <c r="J33" s="223" t="s">
        <v>96</v>
      </c>
      <c r="K33" s="131">
        <f>ROUND(H33*1000000,0)</f>
        <v>321</v>
      </c>
      <c r="L33" s="132">
        <f t="shared" ca="1" si="15"/>
        <v>0</v>
      </c>
      <c r="M33" s="164">
        <v>21</v>
      </c>
      <c r="N33" s="189">
        <f t="shared" ca="1" si="26"/>
        <v>90.7</v>
      </c>
      <c r="O33" s="188"/>
      <c r="P33" s="188">
        <f t="shared" ca="1" si="16"/>
        <v>89.8</v>
      </c>
      <c r="Q33" s="188"/>
      <c r="R33" s="188">
        <f t="shared" ca="1" si="17"/>
        <v>89.8</v>
      </c>
      <c r="S33" s="188"/>
      <c r="T33" s="188">
        <f t="shared" ca="1" si="18"/>
        <v>89.8</v>
      </c>
      <c r="U33" s="188"/>
      <c r="V33" s="187">
        <f t="shared" ca="1" si="19"/>
        <v>89.8</v>
      </c>
      <c r="W33" s="141">
        <f t="shared" ca="1" si="20"/>
        <v>0.28253049999999996</v>
      </c>
      <c r="X33" s="141"/>
      <c r="Y33" s="141">
        <f t="shared" ca="1" si="21"/>
        <v>0.27972699999999995</v>
      </c>
      <c r="Z33" s="141"/>
      <c r="AA33" s="141">
        <f t="shared" ca="1" si="22"/>
        <v>0.27972699999999995</v>
      </c>
      <c r="AB33" s="141"/>
      <c r="AC33" s="141">
        <f t="shared" ca="1" si="23"/>
        <v>0.27972699999999995</v>
      </c>
      <c r="AD33" s="141"/>
      <c r="AE33" s="141">
        <f t="shared" ca="1" si="24"/>
        <v>0.27972699999999995</v>
      </c>
      <c r="AG33" s="104">
        <v>25</v>
      </c>
      <c r="AH33" s="120" t="str">
        <f t="shared" ca="1" si="25"/>
        <v>Cr(VI)</v>
      </c>
    </row>
    <row r="34" spans="1:34" outlineLevel="1" thickBot="1" x14ac:dyDescent="0.3">
      <c r="A34" s="212" t="s">
        <v>50</v>
      </c>
      <c r="B34" s="138" t="s">
        <v>164</v>
      </c>
      <c r="C34" s="138" t="s">
        <v>168</v>
      </c>
      <c r="D34" s="229" t="s">
        <v>96</v>
      </c>
      <c r="E34" s="137">
        <v>0.01</v>
      </c>
      <c r="F34" s="190">
        <v>1.5</v>
      </c>
      <c r="G34" s="229" t="s">
        <v>96</v>
      </c>
      <c r="H34" s="134">
        <f t="shared" si="14"/>
        <v>6.6666666666666671E-3</v>
      </c>
      <c r="I34" s="224">
        <v>8.099999999999999E-5</v>
      </c>
      <c r="J34" s="229" t="s">
        <v>96</v>
      </c>
      <c r="K34" s="131">
        <f>ROUND(H34*1000000,-1)</f>
        <v>6670</v>
      </c>
      <c r="L34" s="132">
        <f t="shared" ca="1" si="15"/>
        <v>0</v>
      </c>
      <c r="M34" s="164">
        <v>29</v>
      </c>
      <c r="N34" s="130">
        <f t="shared" ca="1" si="26"/>
        <v>635</v>
      </c>
      <c r="O34" s="131"/>
      <c r="P34" s="131">
        <f t="shared" ca="1" si="16"/>
        <v>629</v>
      </c>
      <c r="Q34" s="131"/>
      <c r="R34" s="131">
        <f t="shared" ca="1" si="17"/>
        <v>629</v>
      </c>
      <c r="S34" s="131"/>
      <c r="T34" s="131">
        <f t="shared" ca="1" si="18"/>
        <v>629</v>
      </c>
      <c r="U34" s="131"/>
      <c r="V34" s="157">
        <f t="shared" ca="1" si="19"/>
        <v>629</v>
      </c>
      <c r="W34" s="141">
        <f t="shared" ca="1" si="20"/>
        <v>9.5249999999999987E-2</v>
      </c>
      <c r="X34" s="141"/>
      <c r="Y34" s="141">
        <f t="shared" ca="1" si="21"/>
        <v>9.4349999999999989E-2</v>
      </c>
      <c r="Z34" s="141"/>
      <c r="AA34" s="141">
        <f t="shared" ca="1" si="22"/>
        <v>9.4349999999999989E-2</v>
      </c>
      <c r="AB34" s="141"/>
      <c r="AC34" s="141">
        <f t="shared" ca="1" si="23"/>
        <v>9.4349999999999989E-2</v>
      </c>
      <c r="AD34" s="141"/>
      <c r="AE34" s="141">
        <f t="shared" ca="1" si="24"/>
        <v>9.4349999999999989E-2</v>
      </c>
      <c r="AG34" s="104">
        <v>33</v>
      </c>
      <c r="AH34" s="120" t="str">
        <f t="shared" ca="1" si="25"/>
        <v>Mo</v>
      </c>
    </row>
    <row r="35" spans="1:34" outlineLevel="1" thickBot="1" x14ac:dyDescent="0.3">
      <c r="A35" s="212" t="s">
        <v>32</v>
      </c>
      <c r="B35" s="138" t="s">
        <v>167</v>
      </c>
      <c r="C35" s="138" t="s">
        <v>132</v>
      </c>
      <c r="D35" s="223" t="s">
        <v>96</v>
      </c>
      <c r="E35" s="137">
        <v>1E-3</v>
      </c>
      <c r="F35" s="135">
        <v>2.6360000000000001</v>
      </c>
      <c r="G35" s="223" t="s">
        <v>96</v>
      </c>
      <c r="H35" s="134">
        <f t="shared" si="14"/>
        <v>3.7936267071320183E-4</v>
      </c>
      <c r="I35" s="228">
        <v>5.2999999999999998E-4</v>
      </c>
      <c r="J35" s="223" t="s">
        <v>96</v>
      </c>
      <c r="K35" s="131">
        <f>ROUND(H35*1000000,0)</f>
        <v>379</v>
      </c>
      <c r="L35" s="132">
        <f t="shared" ca="1" si="15"/>
        <v>0</v>
      </c>
      <c r="M35" s="164">
        <v>31</v>
      </c>
      <c r="N35" s="130">
        <f t="shared" ca="1" si="26"/>
        <v>680</v>
      </c>
      <c r="O35" s="131"/>
      <c r="P35" s="131">
        <f t="shared" ca="1" si="16"/>
        <v>674</v>
      </c>
      <c r="Q35" s="131"/>
      <c r="R35" s="131">
        <f t="shared" ca="1" si="17"/>
        <v>674</v>
      </c>
      <c r="S35" s="131"/>
      <c r="T35" s="131">
        <f t="shared" ca="1" si="18"/>
        <v>674</v>
      </c>
      <c r="U35" s="131"/>
      <c r="V35" s="157">
        <f t="shared" ca="1" si="19"/>
        <v>674</v>
      </c>
      <c r="W35" s="141">
        <f t="shared" ca="1" si="20"/>
        <v>1.7924799999999999</v>
      </c>
      <c r="X35" s="141"/>
      <c r="Y35" s="141">
        <f t="shared" ca="1" si="21"/>
        <v>1.776664</v>
      </c>
      <c r="Z35" s="141"/>
      <c r="AA35" s="141">
        <f t="shared" ca="1" si="22"/>
        <v>1.776664</v>
      </c>
      <c r="AB35" s="141"/>
      <c r="AC35" s="141">
        <f t="shared" ca="1" si="23"/>
        <v>1.776664</v>
      </c>
      <c r="AD35" s="141"/>
      <c r="AE35" s="141">
        <f t="shared" ca="1" si="24"/>
        <v>1.776664</v>
      </c>
      <c r="AG35" s="104">
        <v>35</v>
      </c>
      <c r="AH35" s="120" t="str">
        <f t="shared" ca="1" si="25"/>
        <v>Ni</v>
      </c>
    </row>
    <row r="36" spans="1:34" outlineLevel="1" thickBot="1" x14ac:dyDescent="0.3">
      <c r="A36" s="212" t="s">
        <v>47</v>
      </c>
      <c r="B36" s="138" t="s">
        <v>166</v>
      </c>
      <c r="C36" s="138" t="s">
        <v>165</v>
      </c>
      <c r="D36" s="229" t="s">
        <v>96</v>
      </c>
      <c r="E36" s="137">
        <v>1E-3</v>
      </c>
      <c r="F36" s="135">
        <v>1.468</v>
      </c>
      <c r="G36" s="229" t="s">
        <v>96</v>
      </c>
      <c r="H36" s="134">
        <f t="shared" si="14"/>
        <v>6.8119891008174384E-4</v>
      </c>
      <c r="I36" s="228">
        <v>1.6000000000000001E-4</v>
      </c>
      <c r="J36" s="229" t="s">
        <v>96</v>
      </c>
      <c r="K36" s="131">
        <f>ROUND(H36*1000000,0)</f>
        <v>681</v>
      </c>
      <c r="L36" s="132">
        <f t="shared" ca="1" si="15"/>
        <v>0</v>
      </c>
      <c r="M36" s="164">
        <v>35</v>
      </c>
      <c r="N36" s="130">
        <f t="shared" ca="1" si="26"/>
        <v>861</v>
      </c>
      <c r="O36" s="131"/>
      <c r="P36" s="131">
        <f t="shared" ca="1" si="16"/>
        <v>853</v>
      </c>
      <c r="Q36" s="131"/>
      <c r="R36" s="131">
        <f t="shared" ca="1" si="17"/>
        <v>853</v>
      </c>
      <c r="S36" s="131"/>
      <c r="T36" s="131">
        <f t="shared" ca="1" si="18"/>
        <v>853</v>
      </c>
      <c r="U36" s="131"/>
      <c r="V36" s="157">
        <f t="shared" ca="1" si="19"/>
        <v>853</v>
      </c>
      <c r="W36" s="141">
        <f t="shared" ca="1" si="20"/>
        <v>1.2639480000000001</v>
      </c>
      <c r="X36" s="141"/>
      <c r="Y36" s="141">
        <f t="shared" ca="1" si="21"/>
        <v>1.2522039999999999</v>
      </c>
      <c r="Z36" s="141"/>
      <c r="AA36" s="141">
        <f t="shared" ca="1" si="22"/>
        <v>1.2522039999999999</v>
      </c>
      <c r="AB36" s="141"/>
      <c r="AC36" s="141">
        <f t="shared" ca="1" si="23"/>
        <v>1.2522039999999999</v>
      </c>
      <c r="AD36" s="141"/>
      <c r="AE36" s="141">
        <f t="shared" ca="1" si="24"/>
        <v>1.2522039999999999</v>
      </c>
      <c r="AG36" s="104">
        <v>39</v>
      </c>
      <c r="AH36" s="120" t="str">
        <f t="shared" ca="1" si="25"/>
        <v>Sb</v>
      </c>
    </row>
    <row r="37" spans="1:34" outlineLevel="1" thickBot="1" x14ac:dyDescent="0.3">
      <c r="A37" s="212" t="s">
        <v>46</v>
      </c>
      <c r="B37" s="138" t="s">
        <v>164</v>
      </c>
      <c r="C37" s="138" t="s">
        <v>163</v>
      </c>
      <c r="D37" s="223" t="s">
        <v>96</v>
      </c>
      <c r="E37" s="137">
        <v>1E-3</v>
      </c>
      <c r="F37" s="135">
        <v>2.5539999999999998</v>
      </c>
      <c r="G37" s="223" t="s">
        <v>96</v>
      </c>
      <c r="H37" s="134">
        <f t="shared" si="14"/>
        <v>3.9154267815191861E-4</v>
      </c>
      <c r="I37" s="224">
        <v>1.2999999999999999E-5</v>
      </c>
      <c r="J37" s="223" t="s">
        <v>96</v>
      </c>
      <c r="K37" s="131">
        <f>ROUND(H37*1000000,0)</f>
        <v>392</v>
      </c>
      <c r="L37" s="132">
        <f t="shared" ca="1" si="15"/>
        <v>0</v>
      </c>
      <c r="M37" s="164">
        <v>36</v>
      </c>
      <c r="N37" s="189">
        <f t="shared" ca="1" si="26"/>
        <v>907</v>
      </c>
      <c r="O37" s="188"/>
      <c r="P37" s="188">
        <f t="shared" ca="1" si="16"/>
        <v>898</v>
      </c>
      <c r="Q37" s="188"/>
      <c r="R37" s="188">
        <f t="shared" ca="1" si="17"/>
        <v>898</v>
      </c>
      <c r="S37" s="188"/>
      <c r="T37" s="188">
        <f t="shared" ca="1" si="18"/>
        <v>898</v>
      </c>
      <c r="U37" s="188"/>
      <c r="V37" s="187">
        <f t="shared" ca="1" si="19"/>
        <v>898</v>
      </c>
      <c r="W37" s="141">
        <f t="shared" ca="1" si="20"/>
        <v>2.3164779999999996</v>
      </c>
      <c r="X37" s="141"/>
      <c r="Y37" s="141">
        <f t="shared" ca="1" si="21"/>
        <v>2.2934919999999996</v>
      </c>
      <c r="Z37" s="141"/>
      <c r="AA37" s="141">
        <f t="shared" ca="1" si="22"/>
        <v>2.2934919999999996</v>
      </c>
      <c r="AB37" s="141"/>
      <c r="AC37" s="141">
        <f t="shared" ca="1" si="23"/>
        <v>2.2934919999999996</v>
      </c>
      <c r="AD37" s="141"/>
      <c r="AE37" s="141">
        <f t="shared" ca="1" si="24"/>
        <v>2.2934919999999996</v>
      </c>
      <c r="AG37" s="104">
        <v>40</v>
      </c>
      <c r="AH37" s="120" t="str">
        <f t="shared" ca="1" si="25"/>
        <v>Se</v>
      </c>
    </row>
    <row r="38" spans="1:34" ht="15.6" outlineLevel="1" x14ac:dyDescent="0.25">
      <c r="A38" s="210"/>
      <c r="B38" s="209"/>
      <c r="C38" s="208"/>
      <c r="D38" s="208"/>
      <c r="E38" s="208"/>
      <c r="F38" s="208"/>
      <c r="G38" s="208"/>
      <c r="H38" s="208"/>
      <c r="I38" s="206"/>
      <c r="J38" s="206"/>
      <c r="K38" s="206"/>
      <c r="L38" s="205"/>
      <c r="M38" s="204"/>
      <c r="N38" s="204"/>
      <c r="O38" s="204"/>
      <c r="P38" s="204"/>
      <c r="Q38" s="204"/>
      <c r="R38" s="204"/>
      <c r="S38" s="204"/>
      <c r="T38" s="204"/>
      <c r="U38" s="204"/>
      <c r="V38" s="204"/>
      <c r="W38" s="222"/>
      <c r="X38" s="222"/>
      <c r="Y38" s="222"/>
      <c r="Z38" s="222"/>
      <c r="AA38" s="222"/>
      <c r="AB38" s="222"/>
      <c r="AC38" s="222"/>
      <c r="AD38" s="222"/>
      <c r="AE38" s="221"/>
      <c r="AH38" s="120"/>
    </row>
    <row r="39" spans="1:34" ht="16.2" outlineLevel="1" thickBot="1" x14ac:dyDescent="0.3">
      <c r="A39" s="201" t="s">
        <v>161</v>
      </c>
      <c r="B39" s="200"/>
      <c r="C39" s="199"/>
      <c r="D39" s="199"/>
      <c r="E39" s="199"/>
      <c r="F39" s="199"/>
      <c r="G39" s="199"/>
      <c r="H39" s="199"/>
      <c r="I39" s="197"/>
      <c r="J39" s="197"/>
      <c r="K39" s="197"/>
      <c r="L39" s="196"/>
      <c r="M39" s="143"/>
      <c r="N39" s="143"/>
      <c r="O39" s="143"/>
      <c r="P39" s="143"/>
      <c r="Q39" s="143"/>
      <c r="R39" s="143"/>
      <c r="S39" s="143"/>
      <c r="T39" s="143"/>
      <c r="U39" s="143"/>
      <c r="V39" s="143"/>
      <c r="W39" s="220"/>
      <c r="X39" s="220"/>
      <c r="Y39" s="220"/>
      <c r="Z39" s="220"/>
      <c r="AA39" s="220"/>
      <c r="AB39" s="220"/>
      <c r="AC39" s="220"/>
      <c r="AD39" s="220"/>
      <c r="AE39" s="219"/>
      <c r="AH39" s="120"/>
    </row>
    <row r="40" spans="1:34" outlineLevel="1" thickBot="1" x14ac:dyDescent="0.3">
      <c r="A40" s="212" t="s">
        <v>65</v>
      </c>
      <c r="B40" s="138" t="s">
        <v>161</v>
      </c>
      <c r="C40" s="138" t="s">
        <v>162</v>
      </c>
      <c r="D40" s="137">
        <v>0.01</v>
      </c>
      <c r="E40" s="137">
        <v>0.05</v>
      </c>
      <c r="F40" s="135">
        <v>1.575</v>
      </c>
      <c r="G40" s="134">
        <f>D40/F40</f>
        <v>6.3492063492063492E-3</v>
      </c>
      <c r="H40" s="136">
        <f>G40*E40/D40</f>
        <v>3.1746031746031744E-2</v>
      </c>
      <c r="I40" s="224">
        <v>4.7000000000000004E-5</v>
      </c>
      <c r="J40" s="131">
        <f>ROUND(G40*1000000,-1)</f>
        <v>6350</v>
      </c>
      <c r="K40" s="131">
        <f>ROUND(H40*1000000,-2)</f>
        <v>31700</v>
      </c>
      <c r="L40" s="132">
        <f ca="1">INDIRECT("für_Einstufung!A"&amp;M40)</f>
        <v>0</v>
      </c>
      <c r="M40" s="164">
        <v>12</v>
      </c>
      <c r="N40" s="189">
        <f ca="1">IF(OR(ISNUMBER(INDIRECT("für_Einstufung!"&amp;AH$1&amp;$AG40)),INDIRECT("für_Einstufung!"&amp;AH$1&amp;$AG40)="n.b."),INDIRECT("für_Einstufung!"&amp;AH$1&amp;$AG40),MID(INDIRECT("für_Einstufung!"&amp;AH$1&amp;$AG40),2,20)*1)</f>
        <v>5</v>
      </c>
      <c r="O40" s="188"/>
      <c r="P40" s="188">
        <f ca="1">IF(OR(ISNUMBER(INDIRECT("für_Einstufung!"&amp;AJ$1&amp;$AG40)),INDIRECT("für_Einstufung!"&amp;AJ$1&amp;$AG40)="n.b."),INDIRECT("für_Einstufung!"&amp;AJ$1&amp;$AG40),MID(INDIRECT("für_Einstufung!"&amp;AJ$1&amp;$AG40),2,20)*1)</f>
        <v>4</v>
      </c>
      <c r="Q40" s="131"/>
      <c r="R40" s="131">
        <f ca="1">IF(OR(ISNUMBER(INDIRECT("für_Einstufung!"&amp;AL$1&amp;$AG40)),INDIRECT("für_Einstufung!"&amp;AL$1&amp;$AG40)="n.b."),INDIRECT("für_Einstufung!"&amp;AL$1&amp;$AG40),MID(INDIRECT("für_Einstufung!"&amp;AL$1&amp;$AG40),2,20)*1)</f>
        <v>4</v>
      </c>
      <c r="S40" s="131"/>
      <c r="T40" s="131">
        <f ca="1">IF(OR(ISNUMBER(INDIRECT("für_Einstufung!"&amp;AN$1&amp;$AG40)),INDIRECT("für_Einstufung!"&amp;AN$1&amp;$AG40)="n.b."),INDIRECT("für_Einstufung!"&amp;AN$1&amp;$AG40),MID(INDIRECT("für_Einstufung!"&amp;AN$1&amp;$AG40),2,20)*1)</f>
        <v>4</v>
      </c>
      <c r="U40" s="131"/>
      <c r="V40" s="187">
        <f ca="1">IF(OR(ISNUMBER(INDIRECT("für_Einstufung!"&amp;AP$1&amp;$AG40)),INDIRECT("für_Einstufung!"&amp;AP$1&amp;$AG40)="n.b."),INDIRECT("für_Einstufung!"&amp;AP$1&amp;$AG40),MID(INDIRECT("für_Einstufung!"&amp;AP$1&amp;$AG40),2,20)*1)</f>
        <v>4</v>
      </c>
      <c r="W40" s="191" t="str">
        <f ca="1">IF(N40="n.b.","n.b.",IF(N40*0.000001&lt;$G40,"&lt; Bgr.",N40*0.000001/$H40))</f>
        <v>&lt; Bgr.</v>
      </c>
      <c r="X40" s="129"/>
      <c r="Y40" s="129" t="str">
        <f ca="1">IF(P40="n.b.","n.b.",IF(P40*0.000001&lt;$G40,"&lt; Bgr.",P40*0.000001/$H40))</f>
        <v>&lt; Bgr.</v>
      </c>
      <c r="Z40" s="129"/>
      <c r="AA40" s="129" t="str">
        <f ca="1">IF(R40="n.b.","n.b.",IF(R40*0.000001&lt;$G40,"&lt; Bgr.",R40*0.000001/$H40))</f>
        <v>&lt; Bgr.</v>
      </c>
      <c r="AB40" s="129"/>
      <c r="AC40" s="129" t="str">
        <f ca="1">IF(T40="n.b.","n.b.",IF(T40*0.000001&lt;$G40,"&lt; Bgr.",T40*0.000001/$H40))</f>
        <v>&lt; Bgr.</v>
      </c>
      <c r="AD40" s="129"/>
      <c r="AE40" s="129" t="str">
        <f ca="1">IF(V40="n.b.","n.b.",IF(V40*0.000001&lt;$G40,"&lt; Bgr.",V40*0.000001/$H40))</f>
        <v>&lt; Bgr.</v>
      </c>
      <c r="AG40" s="104">
        <v>15</v>
      </c>
      <c r="AH40" s="120" t="str">
        <f ca="1">INDIRECT("für_Einstufung!ai$"&amp;AG40)</f>
        <v>Ag</v>
      </c>
    </row>
    <row r="41" spans="1:34" outlineLevel="1" thickBot="1" x14ac:dyDescent="0.3">
      <c r="A41" s="212" t="s">
        <v>45</v>
      </c>
      <c r="B41" s="138" t="s">
        <v>161</v>
      </c>
      <c r="C41" s="138" t="s">
        <v>160</v>
      </c>
      <c r="D41" s="137">
        <v>0.01</v>
      </c>
      <c r="E41" s="137">
        <v>0.05</v>
      </c>
      <c r="F41" s="135">
        <v>2.1949999999999998</v>
      </c>
      <c r="G41" s="134">
        <f>D41/F41</f>
        <v>4.5558086560364471E-3</v>
      </c>
      <c r="H41" s="136">
        <f>G41*E41/D41</f>
        <v>2.2779043280182237E-2</v>
      </c>
      <c r="I41" s="228">
        <v>5.1999999999999995E-4</v>
      </c>
      <c r="J41" s="131">
        <f>ROUND(G41*1000000,-1)</f>
        <v>4560</v>
      </c>
      <c r="K41" s="131">
        <f>ROUND(H41*1000000,-2)</f>
        <v>22800</v>
      </c>
      <c r="L41" s="132">
        <f ca="1">INDIRECT("für_Einstufung!A"&amp;M41)</f>
        <v>0</v>
      </c>
      <c r="M41" s="164">
        <v>37</v>
      </c>
      <c r="N41" s="130">
        <f ca="1">IF(OR(ISNUMBER(INDIRECT("für_Einstufung!"&amp;AH$1&amp;$AG41)),INDIRECT("für_Einstufung!"&amp;AH$1&amp;$AG41)="n.b."),INDIRECT("für_Einstufung!"&amp;AH$1&amp;$AG41),MID(INDIRECT("für_Einstufung!"&amp;AH$1&amp;$AG41),2,20)*1)</f>
        <v>952</v>
      </c>
      <c r="O41" s="131"/>
      <c r="P41" s="131">
        <f ca="1">IF(OR(ISNUMBER(INDIRECT("für_Einstufung!"&amp;AJ$1&amp;$AG41)),INDIRECT("für_Einstufung!"&amp;AJ$1&amp;$AG41)="n.b."),INDIRECT("für_Einstufung!"&amp;AJ$1&amp;$AG41),MID(INDIRECT("für_Einstufung!"&amp;AJ$1&amp;$AG41),2,20)*1)</f>
        <v>943</v>
      </c>
      <c r="Q41" s="131"/>
      <c r="R41" s="131">
        <f ca="1">IF(OR(ISNUMBER(INDIRECT("für_Einstufung!"&amp;AL$1&amp;$AG41)),INDIRECT("für_Einstufung!"&amp;AL$1&amp;$AG41)="n.b."),INDIRECT("für_Einstufung!"&amp;AL$1&amp;$AG41),MID(INDIRECT("für_Einstufung!"&amp;AL$1&amp;$AG41),2,20)*1)</f>
        <v>943</v>
      </c>
      <c r="S41" s="131"/>
      <c r="T41" s="131">
        <f ca="1">IF(OR(ISNUMBER(INDIRECT("für_Einstufung!"&amp;AN$1&amp;$AG41)),INDIRECT("für_Einstufung!"&amp;AN$1&amp;$AG41)="n.b."),INDIRECT("für_Einstufung!"&amp;AN$1&amp;$AG41),MID(INDIRECT("für_Einstufung!"&amp;AN$1&amp;$AG41),2,20)*1)</f>
        <v>943</v>
      </c>
      <c r="U41" s="131"/>
      <c r="V41" s="157">
        <f ca="1">IF(OR(ISNUMBER(INDIRECT("für_Einstufung!"&amp;AP$1&amp;$AG41)),INDIRECT("für_Einstufung!"&amp;AP$1&amp;$AG41)="n.b."),INDIRECT("für_Einstufung!"&amp;AP$1&amp;$AG41),MID(INDIRECT("für_Einstufung!"&amp;AP$1&amp;$AG41),2,20)*1)</f>
        <v>943</v>
      </c>
      <c r="W41" s="191" t="str">
        <f ca="1">IF(N41="n.b.","n.b.",IF(N41*0.000001&lt;$G41,"&lt; Bgr.",N41*0.000001/$H41))</f>
        <v>&lt; Bgr.</v>
      </c>
      <c r="X41" s="129"/>
      <c r="Y41" s="129" t="str">
        <f ca="1">IF(P41="n.b.","n.b.",IF(P41*0.000001&lt;$G41,"&lt; Bgr.",P41*0.000001/$H41))</f>
        <v>&lt; Bgr.</v>
      </c>
      <c r="Z41" s="129"/>
      <c r="AA41" s="129" t="str">
        <f ca="1">IF(R41="n.b.","n.b.",IF(R41*0.000001&lt;$G41,"&lt; Bgr.",R41*0.000001/$H41))</f>
        <v>&lt; Bgr.</v>
      </c>
      <c r="AB41" s="129"/>
      <c r="AC41" s="129" t="str">
        <f ca="1">IF(T41="n.b.","n.b.",IF(T41*0.000001&lt;$G41,"&lt; Bgr.",T41*0.000001/$H41))</f>
        <v>&lt; Bgr.</v>
      </c>
      <c r="AD41" s="129"/>
      <c r="AE41" s="129" t="str">
        <f ca="1">IF(V41="n.b.","n.b.",IF(V41*0.000001&lt;$G41,"&lt; Bgr.",V41*0.000001/$H41))</f>
        <v>&lt; Bgr.</v>
      </c>
      <c r="AG41" s="104">
        <v>41</v>
      </c>
      <c r="AH41" s="120" t="str">
        <f ca="1">INDIRECT("für_Einstufung!ai$"&amp;AG41)</f>
        <v>Sn</v>
      </c>
    </row>
    <row r="42" spans="1:34" outlineLevel="1" thickBot="1" x14ac:dyDescent="0.35">
      <c r="A42" s="227" t="s">
        <v>159</v>
      </c>
      <c r="G42" s="175"/>
      <c r="H42" s="175"/>
      <c r="I42" s="93"/>
      <c r="J42" s="93"/>
      <c r="K42" s="93"/>
      <c r="L42" s="109"/>
      <c r="M42" s="93"/>
      <c r="N42" s="93"/>
      <c r="O42" s="93"/>
      <c r="P42" s="93"/>
      <c r="Q42" s="93"/>
      <c r="R42" s="93"/>
      <c r="S42" s="93"/>
      <c r="T42" s="93"/>
      <c r="U42" s="93"/>
      <c r="V42" s="226"/>
      <c r="W42" s="191">
        <f ca="1">SUM(W40:W41)</f>
        <v>0</v>
      </c>
      <c r="X42" s="129"/>
      <c r="Y42" s="129">
        <f ca="1">SUM(Y40:Y41)</f>
        <v>0</v>
      </c>
      <c r="Z42" s="129"/>
      <c r="AA42" s="129">
        <f ca="1">SUM(AA40:AA41)</f>
        <v>0</v>
      </c>
      <c r="AB42" s="129"/>
      <c r="AC42" s="129">
        <f ca="1">SUM(AC40:AC41)</f>
        <v>0</v>
      </c>
      <c r="AD42" s="129"/>
      <c r="AE42" s="129">
        <f ca="1">SUM(AE40:AE41)</f>
        <v>0</v>
      </c>
      <c r="AH42" s="120"/>
    </row>
    <row r="43" spans="1:34" ht="15.6" outlineLevel="1" x14ac:dyDescent="0.25">
      <c r="A43" s="210"/>
      <c r="B43" s="209"/>
      <c r="C43" s="208"/>
      <c r="D43" s="208"/>
      <c r="E43" s="208"/>
      <c r="F43" s="208"/>
      <c r="G43" s="208"/>
      <c r="H43" s="208"/>
      <c r="I43" s="206"/>
      <c r="J43" s="206"/>
      <c r="K43" s="206"/>
      <c r="L43" s="205"/>
      <c r="M43" s="204"/>
      <c r="N43" s="204"/>
      <c r="O43" s="204"/>
      <c r="P43" s="204"/>
      <c r="Q43" s="204"/>
      <c r="R43" s="204"/>
      <c r="S43" s="204"/>
      <c r="T43" s="204"/>
      <c r="U43" s="204"/>
      <c r="V43" s="225"/>
      <c r="W43" s="222"/>
      <c r="X43" s="222"/>
      <c r="Y43" s="222"/>
      <c r="Z43" s="222"/>
      <c r="AA43" s="222"/>
      <c r="AB43" s="222"/>
      <c r="AC43" s="222"/>
      <c r="AD43" s="222"/>
      <c r="AE43" s="221"/>
      <c r="AH43" s="120"/>
    </row>
    <row r="44" spans="1:34" ht="16.2" outlineLevel="1" thickBot="1" x14ac:dyDescent="0.3">
      <c r="A44" s="201" t="s">
        <v>154</v>
      </c>
      <c r="B44" s="200"/>
      <c r="C44" s="199"/>
      <c r="D44" s="199"/>
      <c r="E44" s="199"/>
      <c r="F44" s="199"/>
      <c r="G44" s="199"/>
      <c r="H44" s="199"/>
      <c r="I44" s="197"/>
      <c r="J44" s="197"/>
      <c r="K44" s="197"/>
      <c r="L44" s="196"/>
      <c r="M44" s="143"/>
      <c r="N44" s="143"/>
      <c r="O44" s="143"/>
      <c r="P44" s="143"/>
      <c r="Q44" s="143"/>
      <c r="R44" s="143"/>
      <c r="S44" s="143"/>
      <c r="T44" s="143"/>
      <c r="U44" s="143"/>
      <c r="V44" s="143"/>
      <c r="W44" s="220"/>
      <c r="X44" s="220"/>
      <c r="Y44" s="220"/>
      <c r="Z44" s="220"/>
      <c r="AA44" s="220"/>
      <c r="AB44" s="220"/>
      <c r="AC44" s="220"/>
      <c r="AD44" s="220"/>
      <c r="AE44" s="219"/>
      <c r="AH44" s="120"/>
    </row>
    <row r="45" spans="1:34" outlineLevel="1" thickBot="1" x14ac:dyDescent="0.3">
      <c r="A45" s="212" t="s">
        <v>64</v>
      </c>
      <c r="B45" s="138" t="s">
        <v>158</v>
      </c>
      <c r="C45" s="138" t="s">
        <v>157</v>
      </c>
      <c r="D45" s="223" t="s">
        <v>96</v>
      </c>
      <c r="E45" s="137">
        <v>3.0000000000000001E-3</v>
      </c>
      <c r="F45" s="135">
        <v>6.0019999999999998</v>
      </c>
      <c r="G45" s="223" t="s">
        <v>96</v>
      </c>
      <c r="H45" s="134">
        <f>IF(AND(ISNUMBER(D45),D45&gt;0.0000001),D45/F45,E45/F45)</f>
        <v>4.9983338887037653E-4</v>
      </c>
      <c r="I45" s="224">
        <v>1.2999999999999999E-5</v>
      </c>
      <c r="J45" s="223" t="s">
        <v>96</v>
      </c>
      <c r="K45" s="131">
        <f>ROUND(H45*1000000,0)</f>
        <v>500</v>
      </c>
      <c r="L45" s="132">
        <f ca="1">INDIRECT("für_Einstufung!A"&amp;M45)</f>
        <v>0</v>
      </c>
      <c r="M45" s="164">
        <v>13</v>
      </c>
      <c r="N45" s="189">
        <f ca="1">IF(OR(ISNUMBER(INDIRECT("für_Einstufung!"&amp;AH$1&amp;$AG45)),INDIRECT("für_Einstufung!"&amp;AH$1&amp;$AG45)="n.b."),INDIRECT("für_Einstufung!"&amp;AH$1&amp;$AG45),MID(INDIRECT("für_Einstufung!"&amp;AH$1&amp;$AG45),2,20)*1)</f>
        <v>90.7</v>
      </c>
      <c r="O45" s="188"/>
      <c r="P45" s="188">
        <f ca="1">IF(OR(ISNUMBER(INDIRECT("für_Einstufung!"&amp;AJ$1&amp;$AG45)),INDIRECT("für_Einstufung!"&amp;AJ$1&amp;$AG45)="n.b."),INDIRECT("für_Einstufung!"&amp;AJ$1&amp;$AG45),MID(INDIRECT("für_Einstufung!"&amp;AJ$1&amp;$AG45),2,20)*1)</f>
        <v>89.8</v>
      </c>
      <c r="Q45" s="188"/>
      <c r="R45" s="188">
        <f ca="1">IF(OR(ISNUMBER(INDIRECT("für_Einstufung!"&amp;AL$1&amp;$AG45)),INDIRECT("für_Einstufung!"&amp;AL$1&amp;$AG45)="n.b."),INDIRECT("für_Einstufung!"&amp;AL$1&amp;$AG45),MID(INDIRECT("für_Einstufung!"&amp;AL$1&amp;$AG45),2,20)*1)</f>
        <v>89.8</v>
      </c>
      <c r="S45" s="188"/>
      <c r="T45" s="188">
        <f ca="1">IF(OR(ISNUMBER(INDIRECT("für_Einstufung!"&amp;AN$1&amp;$AG45)),INDIRECT("für_Einstufung!"&amp;AN$1&amp;$AG45)="n.b."),INDIRECT("für_Einstufung!"&amp;AN$1&amp;$AG45),MID(INDIRECT("für_Einstufung!"&amp;AN$1&amp;$AG45),2,20)*1)</f>
        <v>89.8</v>
      </c>
      <c r="U45" s="188"/>
      <c r="V45" s="187">
        <f ca="1">IF(OR(ISNUMBER(INDIRECT("für_Einstufung!"&amp;AP$1&amp;$AG45)),INDIRECT("für_Einstufung!"&amp;AP$1&amp;$AG45)="n.b."),INDIRECT("für_Einstufung!"&amp;AP$1&amp;$AG45),MID(INDIRECT("für_Einstufung!"&amp;AP$1&amp;$AG45),2,20)*1)</f>
        <v>89.8</v>
      </c>
      <c r="W45" s="141">
        <f ca="1">IF(N45="n.b.","n.b.",N45*0.000001/$H45)</f>
        <v>0.18146046666666665</v>
      </c>
      <c r="X45" s="141"/>
      <c r="Y45" s="141">
        <f ca="1">IF(P45="n.b.","n.b.",P45*0.000001/$H45)</f>
        <v>0.17965986666666664</v>
      </c>
      <c r="Z45" s="141"/>
      <c r="AA45" s="141">
        <f ca="1">IF(R45="n.b.","n.b.",R45*0.000001/$H45)</f>
        <v>0.17965986666666664</v>
      </c>
      <c r="AB45" s="141"/>
      <c r="AC45" s="141">
        <f ca="1">IF(T45="n.b.","n.b.",T45*0.000001/$H45)</f>
        <v>0.17965986666666664</v>
      </c>
      <c r="AD45" s="141"/>
      <c r="AE45" s="141">
        <f ca="1">IF(V45="n.b.","n.b.",V45*0.000001/$H45)</f>
        <v>0.17965986666666664</v>
      </c>
      <c r="AG45" s="104">
        <v>16</v>
      </c>
      <c r="AH45" s="120" t="str">
        <f ca="1">INDIRECT("für_Einstufung!ai$"&amp;AG45)</f>
        <v>As</v>
      </c>
    </row>
    <row r="46" spans="1:34" outlineLevel="1" thickBot="1" x14ac:dyDescent="0.3">
      <c r="A46" s="212" t="s">
        <v>63</v>
      </c>
      <c r="B46" s="138" t="s">
        <v>154</v>
      </c>
      <c r="C46" s="138" t="s">
        <v>156</v>
      </c>
      <c r="D46" s="223" t="s">
        <v>96</v>
      </c>
      <c r="E46" s="137">
        <v>3.0000000000000001E-3</v>
      </c>
      <c r="F46" s="190">
        <v>3.22</v>
      </c>
      <c r="G46" s="223" t="s">
        <v>96</v>
      </c>
      <c r="H46" s="134">
        <f>IF(AND(ISNUMBER(D46),D46&gt;0.0000001),D46/F46,E46/F46)</f>
        <v>9.3167701863354035E-4</v>
      </c>
      <c r="I46" s="224">
        <v>1.000013</v>
      </c>
      <c r="J46" s="223" t="s">
        <v>96</v>
      </c>
      <c r="K46" s="131">
        <f>ROUND(H46*1000000,0)</f>
        <v>932</v>
      </c>
      <c r="L46" s="132">
        <f ca="1">INDIRECT("für_Einstufung!A"&amp;M46)</f>
        <v>0</v>
      </c>
      <c r="M46" s="164">
        <v>14</v>
      </c>
      <c r="N46" s="130">
        <f ca="1">IF(OR(ISNUMBER(INDIRECT("für_Einstufung!"&amp;AH$1&amp;$AG46)),INDIRECT("für_Einstufung!"&amp;AH$1&amp;$AG46)="n.b."),INDIRECT("für_Einstufung!"&amp;AH$1&amp;$AG46),MID(INDIRECT("für_Einstufung!"&amp;AH$1&amp;$AG46),2,20)*1)</f>
        <v>136</v>
      </c>
      <c r="O46" s="131"/>
      <c r="P46" s="131">
        <f ca="1">IF(OR(ISNUMBER(INDIRECT("für_Einstufung!"&amp;AJ$1&amp;$AG46)),INDIRECT("für_Einstufung!"&amp;AJ$1&amp;$AG46)="n.b."),INDIRECT("für_Einstufung!"&amp;AJ$1&amp;$AG46),MID(INDIRECT("für_Einstufung!"&amp;AJ$1&amp;$AG46),2,20)*1)</f>
        <v>135</v>
      </c>
      <c r="Q46" s="131"/>
      <c r="R46" s="131">
        <f ca="1">IF(OR(ISNUMBER(INDIRECT("für_Einstufung!"&amp;AL$1&amp;$AG46)),INDIRECT("für_Einstufung!"&amp;AL$1&amp;$AG46)="n.b."),INDIRECT("für_Einstufung!"&amp;AL$1&amp;$AG46),MID(INDIRECT("für_Einstufung!"&amp;AL$1&amp;$AG46),2,20)*1)</f>
        <v>135</v>
      </c>
      <c r="S46" s="131"/>
      <c r="T46" s="131">
        <f ca="1">IF(OR(ISNUMBER(INDIRECT("für_Einstufung!"&amp;AN$1&amp;$AG46)),INDIRECT("für_Einstufung!"&amp;AN$1&amp;$AG46)="n.b."),INDIRECT("für_Einstufung!"&amp;AN$1&amp;$AG46),MID(INDIRECT("für_Einstufung!"&amp;AN$1&amp;$AG46),2,20)*1)</f>
        <v>135</v>
      </c>
      <c r="U46" s="131"/>
      <c r="V46" s="157">
        <f ca="1">IF(OR(ISNUMBER(INDIRECT("für_Einstufung!"&amp;AP$1&amp;$AG46)),INDIRECT("für_Einstufung!"&amp;AP$1&amp;$AG46)="n.b."),INDIRECT("für_Einstufung!"&amp;AP$1&amp;$AG46),MID(INDIRECT("für_Einstufung!"&amp;AP$1&amp;$AG46),2,20)*1)</f>
        <v>135</v>
      </c>
      <c r="W46" s="141">
        <f ca="1">IF(N46="n.b.","n.b.",N46*0.000001/$H46)</f>
        <v>0.14597333333333334</v>
      </c>
      <c r="X46" s="141"/>
      <c r="Y46" s="141">
        <f ca="1">IF(P46="n.b.","n.b.",P46*0.000001/$H46)</f>
        <v>0.1449</v>
      </c>
      <c r="Z46" s="141"/>
      <c r="AA46" s="141">
        <f ca="1">IF(R46="n.b.","n.b.",R46*0.000001/$H46)</f>
        <v>0.1449</v>
      </c>
      <c r="AB46" s="141"/>
      <c r="AC46" s="141">
        <f ca="1">IF(T46="n.b.","n.b.",T46*0.000001/$H46)</f>
        <v>0.1449</v>
      </c>
      <c r="AD46" s="141"/>
      <c r="AE46" s="141">
        <f ca="1">IF(V46="n.b.","n.b.",V46*0.000001/$H46)</f>
        <v>0.1449</v>
      </c>
      <c r="AG46" s="104">
        <v>17</v>
      </c>
      <c r="AH46" s="120" t="str">
        <f ca="1">INDIRECT("für_Einstufung!ai$"&amp;AG46)</f>
        <v>B</v>
      </c>
    </row>
    <row r="47" spans="1:34" outlineLevel="1" thickBot="1" x14ac:dyDescent="0.3">
      <c r="A47" s="212" t="s">
        <v>60</v>
      </c>
      <c r="B47" s="138" t="s">
        <v>154</v>
      </c>
      <c r="C47" s="138" t="s">
        <v>155</v>
      </c>
      <c r="D47" s="223" t="s">
        <v>96</v>
      </c>
      <c r="E47" s="137">
        <v>3.0000000000000001E-3</v>
      </c>
      <c r="F47" s="190">
        <v>1.225315980478038</v>
      </c>
      <c r="G47" s="223" t="s">
        <v>96</v>
      </c>
      <c r="H47" s="134">
        <f>IF(AND(ISNUMBER(D47),D47&gt;0.0000001),D47/F47,E47/F47)</f>
        <v>2.4483480569882036E-3</v>
      </c>
      <c r="I47" s="224">
        <v>2.000013</v>
      </c>
      <c r="J47" s="223" t="s">
        <v>96</v>
      </c>
      <c r="K47" s="131">
        <f>ROUND(H47*1000000,-1)</f>
        <v>2450</v>
      </c>
      <c r="L47" s="132">
        <f ca="1">INDIRECT("für_Einstufung!A"&amp;M47)</f>
        <v>0</v>
      </c>
      <c r="M47" s="164">
        <v>33</v>
      </c>
      <c r="N47" s="130">
        <f ca="1">IF(OR(ISNUMBER(INDIRECT("für_Einstufung!"&amp;AH$1&amp;$AG47)),INDIRECT("für_Einstufung!"&amp;AH$1&amp;$AG47)="n.b."),INDIRECT("für_Einstufung!"&amp;AH$1&amp;$AG47),MID(INDIRECT("für_Einstufung!"&amp;AH$1&amp;$AG47),2,20)*1)</f>
        <v>90.7</v>
      </c>
      <c r="O47" s="131"/>
      <c r="P47" s="131">
        <f ca="1">IF(OR(ISNUMBER(INDIRECT("für_Einstufung!"&amp;AJ$1&amp;$AG47)),INDIRECT("für_Einstufung!"&amp;AJ$1&amp;$AG47)="n.b."),INDIRECT("für_Einstufung!"&amp;AJ$1&amp;$AG47),MID(INDIRECT("für_Einstufung!"&amp;AJ$1&amp;$AG47),2,20)*1)</f>
        <v>89.8</v>
      </c>
      <c r="Q47" s="131"/>
      <c r="R47" s="131">
        <f ca="1">IF(OR(ISNUMBER(INDIRECT("für_Einstufung!"&amp;AL$1&amp;$AG47)),INDIRECT("für_Einstufung!"&amp;AL$1&amp;$AG47)="n.b."),INDIRECT("für_Einstufung!"&amp;AL$1&amp;$AG47),MID(INDIRECT("für_Einstufung!"&amp;AL$1&amp;$AG47),2,20)*1)</f>
        <v>89.8</v>
      </c>
      <c r="S47" s="131"/>
      <c r="T47" s="131">
        <f ca="1">IF(OR(ISNUMBER(INDIRECT("für_Einstufung!"&amp;AN$1&amp;$AG47)),INDIRECT("für_Einstufung!"&amp;AN$1&amp;$AG47)="n.b."),INDIRECT("für_Einstufung!"&amp;AN$1&amp;$AG47),MID(INDIRECT("für_Einstufung!"&amp;AN$1&amp;$AG47),2,20)*1)</f>
        <v>89.8</v>
      </c>
      <c r="U47" s="131"/>
      <c r="V47" s="157">
        <f ca="1">IF(OR(ISNUMBER(INDIRECT("für_Einstufung!"&amp;AP$1&amp;$AG47)),INDIRECT("für_Einstufung!"&amp;AP$1&amp;$AG47)="n.b."),INDIRECT("für_Einstufung!"&amp;AP$1&amp;$AG47),MID(INDIRECT("für_Einstufung!"&amp;AP$1&amp;$AG47),2,20)*1)</f>
        <v>89.8</v>
      </c>
      <c r="W47" s="141">
        <f ca="1">IF(N47="n.b.","n.b.",N47*0.000001/$H47)</f>
        <v>3.7045386476452682E-2</v>
      </c>
      <c r="X47" s="141"/>
      <c r="Y47" s="141">
        <f ca="1">IF(P47="n.b.","n.b.",P47*0.000001/$H47)</f>
        <v>3.6677791682309266E-2</v>
      </c>
      <c r="Z47" s="141"/>
      <c r="AA47" s="141">
        <f ca="1">IF(R47="n.b.","n.b.",R47*0.000001/$H47)</f>
        <v>3.6677791682309266E-2</v>
      </c>
      <c r="AB47" s="141"/>
      <c r="AC47" s="141">
        <f ca="1">IF(T47="n.b.","n.b.",T47*0.000001/$H47)</f>
        <v>3.6677791682309266E-2</v>
      </c>
      <c r="AD47" s="141"/>
      <c r="AE47" s="141">
        <f ca="1">IF(V47="n.b.","n.b.",V47*0.000001/$H47)</f>
        <v>3.6677791682309266E-2</v>
      </c>
      <c r="AG47" s="104">
        <v>20</v>
      </c>
      <c r="AH47" s="120" t="str">
        <f ca="1">INDIRECT("für_Einstufung!ai$"&amp;AG47)</f>
        <v>Br</v>
      </c>
    </row>
    <row r="48" spans="1:34" outlineLevel="1" thickBot="1" x14ac:dyDescent="0.3">
      <c r="A48" s="212" t="s">
        <v>31</v>
      </c>
      <c r="B48" s="138" t="s">
        <v>154</v>
      </c>
      <c r="C48" s="138" t="s">
        <v>31</v>
      </c>
      <c r="D48" s="223" t="s">
        <v>96</v>
      </c>
      <c r="E48" s="137">
        <v>3.0000000000000001E-3</v>
      </c>
      <c r="F48" s="135">
        <v>1</v>
      </c>
      <c r="G48" s="223" t="s">
        <v>96</v>
      </c>
      <c r="H48" s="134">
        <f>IF(AND(ISNUMBER(D48),D48&gt;0.0000001),D48/F48,E48/F48)</f>
        <v>3.0000000000000001E-3</v>
      </c>
      <c r="I48" s="224">
        <v>2.000013</v>
      </c>
      <c r="J48" s="223" t="s">
        <v>96</v>
      </c>
      <c r="K48" s="131">
        <f>ROUND(H48*1000000,-1)</f>
        <v>3000</v>
      </c>
      <c r="L48" s="132">
        <f ca="1">INDIRECT("für_Einstufung!A"&amp;M48)</f>
        <v>0</v>
      </c>
      <c r="M48" s="164">
        <v>33</v>
      </c>
      <c r="N48" s="130">
        <f ca="1">IF(OR(ISNUMBER(INDIRECT("für_Einstufung!"&amp;AH$1&amp;$AG48)),INDIRECT("für_Einstufung!"&amp;AH$1&amp;$AG48)="n.b."),INDIRECT("für_Einstufung!"&amp;AH$1&amp;$AG48),MID(INDIRECT("für_Einstufung!"&amp;AH$1&amp;$AG48),2,20)*1)</f>
        <v>771</v>
      </c>
      <c r="O48" s="131"/>
      <c r="P48" s="131">
        <f ca="1">IF(OR(ISNUMBER(INDIRECT("für_Einstufung!"&amp;AJ$1&amp;$AG48)),INDIRECT("für_Einstufung!"&amp;AJ$1&amp;$AG48)="n.b."),INDIRECT("für_Einstufung!"&amp;AJ$1&amp;$AG48),MID(INDIRECT("für_Einstufung!"&amp;AJ$1&amp;$AG48),2,20)*1)</f>
        <v>763</v>
      </c>
      <c r="Q48" s="131"/>
      <c r="R48" s="131">
        <f ca="1">IF(OR(ISNUMBER(INDIRECT("für_Einstufung!"&amp;AL$1&amp;$AG48)),INDIRECT("für_Einstufung!"&amp;AL$1&amp;$AG48)="n.b."),INDIRECT("für_Einstufung!"&amp;AL$1&amp;$AG48),MID(INDIRECT("für_Einstufung!"&amp;AL$1&amp;$AG48),2,20)*1)</f>
        <v>763</v>
      </c>
      <c r="S48" s="131"/>
      <c r="T48" s="131">
        <f ca="1">IF(OR(ISNUMBER(INDIRECT("für_Einstufung!"&amp;AN$1&amp;$AG48)),INDIRECT("für_Einstufung!"&amp;AN$1&amp;$AG48)="n.b."),INDIRECT("für_Einstufung!"&amp;AN$1&amp;$AG48),MID(INDIRECT("für_Einstufung!"&amp;AN$1&amp;$AG48),2,20)*1)</f>
        <v>763</v>
      </c>
      <c r="U48" s="131"/>
      <c r="V48" s="157">
        <f ca="1">IF(OR(ISNUMBER(INDIRECT("für_Einstufung!"&amp;AP$1&amp;$AG48)),INDIRECT("für_Einstufung!"&amp;AP$1&amp;$AG48)="n.b."),INDIRECT("für_Einstufung!"&amp;AP$1&amp;$AG48),MID(INDIRECT("für_Einstufung!"&amp;AP$1&amp;$AG48),2,20)*1)</f>
        <v>763</v>
      </c>
      <c r="W48" s="141">
        <f ca="1">IF(N48="n.b.","n.b.",N48*0.000001/$H48)</f>
        <v>0.25700000000000001</v>
      </c>
      <c r="X48" s="141"/>
      <c r="Y48" s="141">
        <f ca="1">IF(P48="n.b.","n.b.",P48*0.000001/$H48)</f>
        <v>0.25433333333333336</v>
      </c>
      <c r="Z48" s="141"/>
      <c r="AA48" s="141">
        <f ca="1">IF(R48="n.b.","n.b.",R48*0.000001/$H48)</f>
        <v>0.25433333333333336</v>
      </c>
      <c r="AB48" s="141"/>
      <c r="AC48" s="141">
        <f ca="1">IF(T48="n.b.","n.b.",T48*0.000001/$H48)</f>
        <v>0.25433333333333336</v>
      </c>
      <c r="AD48" s="141"/>
      <c r="AE48" s="141">
        <f ca="1">IF(V48="n.b.","n.b.",V48*0.000001/$H48)</f>
        <v>0.25433333333333336</v>
      </c>
      <c r="AG48" s="104">
        <v>37</v>
      </c>
      <c r="AH48" s="120" t="str">
        <f ca="1">INDIRECT("für_Einstufung!ai$"&amp;AG48)</f>
        <v>Pb</v>
      </c>
    </row>
    <row r="49" spans="1:34" outlineLevel="1" thickBot="1" x14ac:dyDescent="0.3">
      <c r="A49" s="212" t="s">
        <v>44</v>
      </c>
      <c r="B49" s="138" t="s">
        <v>154</v>
      </c>
      <c r="C49" s="138" t="s">
        <v>153</v>
      </c>
      <c r="D49" s="223" t="s">
        <v>96</v>
      </c>
      <c r="E49" s="137">
        <v>3.0000000000000001E-3</v>
      </c>
      <c r="F49" s="190">
        <v>1.2507742946708462</v>
      </c>
      <c r="G49" s="223" t="s">
        <v>96</v>
      </c>
      <c r="H49" s="134">
        <f>IF(AND(ISNUMBER(D49),D49&gt;0.0000001),D49/F49,E49/F49)</f>
        <v>2.398514274543418E-3</v>
      </c>
      <c r="I49" s="224">
        <v>2.000013</v>
      </c>
      <c r="J49" s="223" t="s">
        <v>96</v>
      </c>
      <c r="K49" s="131">
        <f>ROUND(H49*1000000,-1)</f>
        <v>2400</v>
      </c>
      <c r="L49" s="132">
        <f ca="1">INDIRECT("für_Einstufung!A"&amp;M49)</f>
        <v>0</v>
      </c>
      <c r="M49" s="164">
        <v>33</v>
      </c>
      <c r="N49" s="130">
        <f ca="1">IF(OR(ISNUMBER(INDIRECT("für_Einstufung!"&amp;AH$1&amp;$AG49)),INDIRECT("für_Einstufung!"&amp;AH$1&amp;$AG49)="n.b."),INDIRECT("für_Einstufung!"&amp;AH$1&amp;$AG49),MID(INDIRECT("für_Einstufung!"&amp;AH$1&amp;$AG49),2,20)*1)</f>
        <v>5</v>
      </c>
      <c r="O49" s="131"/>
      <c r="P49" s="131">
        <f ca="1">IF(OR(ISNUMBER(INDIRECT("für_Einstufung!"&amp;AJ$1&amp;$AG49)),INDIRECT("für_Einstufung!"&amp;AJ$1&amp;$AG49)="n.b."),INDIRECT("für_Einstufung!"&amp;AJ$1&amp;$AG49),MID(INDIRECT("für_Einstufung!"&amp;AJ$1&amp;$AG49),2,20)*1)</f>
        <v>988</v>
      </c>
      <c r="Q49" s="131"/>
      <c r="R49" s="131">
        <f ca="1">IF(OR(ISNUMBER(INDIRECT("für_Einstufung!"&amp;AL$1&amp;$AG49)),INDIRECT("für_Einstufung!"&amp;AL$1&amp;$AG49)="n.b."),INDIRECT("für_Einstufung!"&amp;AL$1&amp;$AG49),MID(INDIRECT("für_Einstufung!"&amp;AL$1&amp;$AG49),2,20)*1)</f>
        <v>988</v>
      </c>
      <c r="S49" s="131"/>
      <c r="T49" s="131">
        <f ca="1">IF(OR(ISNUMBER(INDIRECT("für_Einstufung!"&amp;AN$1&amp;$AG49)),INDIRECT("für_Einstufung!"&amp;AN$1&amp;$AG49)="n.b."),INDIRECT("für_Einstufung!"&amp;AN$1&amp;$AG49),MID(INDIRECT("für_Einstufung!"&amp;AN$1&amp;$AG49),2,20)*1)</f>
        <v>988</v>
      </c>
      <c r="U49" s="131"/>
      <c r="V49" s="157">
        <f ca="1">IF(OR(ISNUMBER(INDIRECT("für_Einstufung!"&amp;AP$1&amp;$AG49)),INDIRECT("für_Einstufung!"&amp;AP$1&amp;$AG49)="n.b."),INDIRECT("für_Einstufung!"&amp;AP$1&amp;$AG49),MID(INDIRECT("für_Einstufung!"&amp;AP$1&amp;$AG49),2,20)*1)</f>
        <v>988</v>
      </c>
      <c r="W49" s="141">
        <f ca="1">IF(N49="n.b.","n.b.",N49*0.000001/$H49)</f>
        <v>2.0846238244514102E-3</v>
      </c>
      <c r="X49" s="141"/>
      <c r="Y49" s="141">
        <f ca="1">IF(P49="n.b.","n.b.",P49*0.000001/$H49)</f>
        <v>0.41192166771159866</v>
      </c>
      <c r="Z49" s="141"/>
      <c r="AA49" s="141">
        <f ca="1">IF(R49="n.b.","n.b.",R49*0.000001/$H49)</f>
        <v>0.41192166771159866</v>
      </c>
      <c r="AB49" s="141"/>
      <c r="AC49" s="141">
        <f ca="1">IF(T49="n.b.","n.b.",T49*0.000001/$H49)</f>
        <v>0.41192166771159866</v>
      </c>
      <c r="AD49" s="141"/>
      <c r="AE49" s="141">
        <f ca="1">IF(V49="n.b.","n.b.",V49*0.000001/$H49)</f>
        <v>0.41192166771159866</v>
      </c>
      <c r="AG49" s="104">
        <v>42</v>
      </c>
      <c r="AH49" s="120" t="str">
        <f ca="1">INDIRECT("für_Einstufung!ai$"&amp;AG49)</f>
        <v>Te</v>
      </c>
    </row>
    <row r="50" spans="1:34" ht="15.6" outlineLevel="1" x14ac:dyDescent="0.25">
      <c r="A50" s="210"/>
      <c r="B50" s="209"/>
      <c r="C50" s="208"/>
      <c r="D50" s="208"/>
      <c r="E50" s="208"/>
      <c r="F50" s="208"/>
      <c r="G50" s="208"/>
      <c r="H50" s="208"/>
      <c r="I50" s="206"/>
      <c r="J50" s="206"/>
      <c r="K50" s="206"/>
      <c r="L50" s="205"/>
      <c r="M50" s="204"/>
      <c r="N50" s="204"/>
      <c r="O50" s="204"/>
      <c r="P50" s="204"/>
      <c r="Q50" s="204"/>
      <c r="R50" s="204"/>
      <c r="S50" s="204"/>
      <c r="T50" s="204"/>
      <c r="U50" s="204"/>
      <c r="V50" s="204"/>
      <c r="W50" s="222"/>
      <c r="X50" s="222"/>
      <c r="Y50" s="222"/>
      <c r="Z50" s="222"/>
      <c r="AA50" s="222"/>
      <c r="AB50" s="222"/>
      <c r="AC50" s="222"/>
      <c r="AD50" s="222"/>
      <c r="AE50" s="221"/>
      <c r="AH50" s="120"/>
    </row>
    <row r="51" spans="1:34" ht="16.2" outlineLevel="1" thickBot="1" x14ac:dyDescent="0.3">
      <c r="A51" s="201" t="s">
        <v>142</v>
      </c>
      <c r="B51" s="200"/>
      <c r="C51" s="199"/>
      <c r="D51" s="199"/>
      <c r="E51" s="199"/>
      <c r="F51" s="199"/>
      <c r="G51" s="199"/>
      <c r="H51" s="199"/>
      <c r="I51" s="197"/>
      <c r="J51" s="197"/>
      <c r="K51" s="197"/>
      <c r="L51" s="196"/>
      <c r="M51" s="143"/>
      <c r="N51" s="143"/>
      <c r="O51" s="143"/>
      <c r="P51" s="143"/>
      <c r="Q51" s="143"/>
      <c r="R51" s="143"/>
      <c r="S51" s="143"/>
      <c r="T51" s="143"/>
      <c r="U51" s="143"/>
      <c r="V51" s="143"/>
      <c r="W51" s="220"/>
      <c r="X51" s="220"/>
      <c r="Y51" s="220"/>
      <c r="Z51" s="220"/>
      <c r="AA51" s="220"/>
      <c r="AB51" s="220"/>
      <c r="AC51" s="220"/>
      <c r="AD51" s="220"/>
      <c r="AE51" s="219"/>
      <c r="AH51" s="120"/>
    </row>
    <row r="52" spans="1:34" outlineLevel="1" thickBot="1" x14ac:dyDescent="0.3">
      <c r="A52" s="193" t="s">
        <v>152</v>
      </c>
      <c r="B52" s="151"/>
      <c r="C52" s="151"/>
      <c r="D52" s="150"/>
      <c r="E52" s="149"/>
      <c r="F52" s="148"/>
      <c r="G52" s="149"/>
      <c r="H52" s="149"/>
      <c r="I52" s="146"/>
      <c r="J52" s="146"/>
      <c r="K52" s="146"/>
      <c r="L52" s="145"/>
      <c r="M52" s="144"/>
      <c r="N52" s="144"/>
      <c r="O52" s="144"/>
      <c r="P52" s="144"/>
      <c r="Q52" s="144"/>
      <c r="R52" s="144"/>
      <c r="S52" s="144"/>
      <c r="T52" s="144"/>
      <c r="U52" s="144"/>
      <c r="V52" s="144"/>
      <c r="W52" s="215"/>
      <c r="X52" s="215"/>
      <c r="Y52" s="215"/>
      <c r="Z52" s="215"/>
      <c r="AA52" s="215"/>
      <c r="AB52" s="215"/>
      <c r="AC52" s="215"/>
      <c r="AD52" s="215"/>
      <c r="AE52" s="191"/>
    </row>
    <row r="53" spans="1:34" ht="28.2" outlineLevel="1" thickBot="1" x14ac:dyDescent="0.3">
      <c r="A53" s="139" t="s">
        <v>33</v>
      </c>
      <c r="B53" s="138" t="s">
        <v>138</v>
      </c>
      <c r="C53" s="138" t="s">
        <v>33</v>
      </c>
      <c r="D53" s="137">
        <v>0.01</v>
      </c>
      <c r="E53" s="136">
        <v>2.5000000000000001E-2</v>
      </c>
      <c r="F53" s="135">
        <v>1</v>
      </c>
      <c r="G53" s="134">
        <f>D53/F53</f>
        <v>0.01</v>
      </c>
      <c r="H53" s="134">
        <f>G53*E53/D53</f>
        <v>2.5000000000000001E-2</v>
      </c>
      <c r="I53" s="133" t="s">
        <v>96</v>
      </c>
      <c r="J53" s="131">
        <f>ROUND(G53*1000000,-1)</f>
        <v>10000</v>
      </c>
      <c r="K53" s="131">
        <f>ROUND(H53*1000000,-1)</f>
        <v>25000</v>
      </c>
      <c r="L53" s="132">
        <f ca="1">INDIRECT("für_Einstufung!A"&amp;M53)</f>
        <v>0</v>
      </c>
      <c r="M53" s="164">
        <v>59</v>
      </c>
      <c r="N53" s="130">
        <f ca="1">IF(OR(ISNUMBER(INDIRECT("für_Einstufung!"&amp;AH$1&amp;$AG53)),INDIRECT("für_Einstufung!"&amp;AH$1&amp;$AG53)="n.b."),INDIRECT("für_Einstufung!"&amp;AH$1&amp;$AG53),MID(INDIRECT("für_Einstufung!"&amp;AH$1&amp;$AG53),2,20)*1)</f>
        <v>40</v>
      </c>
      <c r="O53" s="131"/>
      <c r="P53" s="131">
        <f ca="1">IF(OR(ISNUMBER(INDIRECT("für_Einstufung!"&amp;AJ$1&amp;$AG53)),INDIRECT("für_Einstufung!"&amp;AJ$1&amp;$AG53)="n.b."),INDIRECT("für_Einstufung!"&amp;AJ$1&amp;$AG53),MID(INDIRECT("für_Einstufung!"&amp;AJ$1&amp;$AG53),2,20)*1)</f>
        <v>520</v>
      </c>
      <c r="Q53" s="131"/>
      <c r="R53" s="131">
        <f ca="1">IF(OR(ISNUMBER(INDIRECT("für_Einstufung!"&amp;AL$1&amp;$AG53)),INDIRECT("für_Einstufung!"&amp;AL$1&amp;$AG53)="n.b."),INDIRECT("für_Einstufung!"&amp;AL$1&amp;$AG53),MID(INDIRECT("für_Einstufung!"&amp;AL$1&amp;$AG53),2,20)*1)</f>
        <v>520</v>
      </c>
      <c r="S53" s="131"/>
      <c r="T53" s="131">
        <f ca="1">IF(OR(ISNUMBER(INDIRECT("für_Einstufung!"&amp;AN$1&amp;$AG53)),INDIRECT("für_Einstufung!"&amp;AN$1&amp;$AG53)="n.b."),INDIRECT("für_Einstufung!"&amp;AN$1&amp;$AG53),MID(INDIRECT("für_Einstufung!"&amp;AN$1&amp;$AG53),2,20)*1)</f>
        <v>520</v>
      </c>
      <c r="U53" s="131"/>
      <c r="V53" s="157">
        <f ca="1">IF(OR(ISNUMBER(INDIRECT("für_Einstufung!"&amp;AP$1&amp;$AG53)),INDIRECT("für_Einstufung!"&amp;AP$1&amp;$AG53)="n.b."),INDIRECT("für_Einstufung!"&amp;AP$1&amp;$AG53),MID(INDIRECT("für_Einstufung!"&amp;AP$1&amp;$AG53),2,20)*1)</f>
        <v>520</v>
      </c>
      <c r="W53" s="191" t="str">
        <f ca="1">IF(OR(N53="Fehler (oder n.b.)",N53="n.b."),"n.b.",IF(N53*0.000001&lt;$G53,"&lt; Bgr.",N53*0.000001/$H53))</f>
        <v>&lt; Bgr.</v>
      </c>
      <c r="X53" s="129"/>
      <c r="Y53" s="191" t="str">
        <f ca="1">IF(OR(P53="Fehler (oder n.b.)",P53="n.b."),"n.b.",IF(P53*0.000001&lt;$G53,"&lt; Bgr.",P53*0.000001/$H53))</f>
        <v>&lt; Bgr.</v>
      </c>
      <c r="Z53" s="129"/>
      <c r="AA53" s="191" t="str">
        <f ca="1">IF(OR(R53="Fehler (oder n.b.)",R53="n.b."),"n.b.",IF(R53*0.000001&lt;$G53,"&lt; Bgr.",R53*0.000001/$H53))</f>
        <v>&lt; Bgr.</v>
      </c>
      <c r="AB53" s="129"/>
      <c r="AC53" s="191" t="str">
        <f ca="1">IF(OR(T53="Fehler (oder n.b.)",T53="n.b."),"n.b.",IF(T53*0.000001&lt;$G53,"&lt; Bgr.",T53*0.000001/$H53))</f>
        <v>&lt; Bgr.</v>
      </c>
      <c r="AD53" s="129"/>
      <c r="AE53" s="191" t="str">
        <f ca="1">IF(OR(V53="Fehler (oder n.b.)",V53="n.b."),"n.b.",IF(V53*0.000001&lt;$G53,"&lt; Bgr.",V53*0.000001/$H53))</f>
        <v>&lt; Bgr.</v>
      </c>
      <c r="AG53" s="104">
        <v>61</v>
      </c>
      <c r="AH53" s="120" t="str">
        <f ca="1">INDIRECT("für_Einstufung!ai$"&amp;AG53)</f>
        <v>Cu_goL &lt; 1 mm</v>
      </c>
    </row>
    <row r="54" spans="1:34" ht="28.2" outlineLevel="1" thickBot="1" x14ac:dyDescent="0.3">
      <c r="A54" s="139" t="s">
        <v>32</v>
      </c>
      <c r="B54" s="138" t="s">
        <v>138</v>
      </c>
      <c r="C54" s="138" t="s">
        <v>32</v>
      </c>
      <c r="D54" s="218" t="s">
        <v>151</v>
      </c>
      <c r="E54" s="136"/>
      <c r="F54" s="135"/>
      <c r="G54" s="134" t="s">
        <v>96</v>
      </c>
      <c r="H54" s="134" t="s">
        <v>96</v>
      </c>
      <c r="I54" s="133" t="s">
        <v>96</v>
      </c>
      <c r="J54" s="131" t="s">
        <v>96</v>
      </c>
      <c r="K54" s="131" t="s">
        <v>96</v>
      </c>
      <c r="L54" s="132">
        <f ca="1">INDIRECT("für_Einstufung!A"&amp;M54)</f>
        <v>0</v>
      </c>
      <c r="M54" s="164">
        <v>59</v>
      </c>
      <c r="N54" s="130">
        <f ca="1">IF(OR(ISNUMBER(INDIRECT("für_Einstufung!"&amp;AH$1&amp;$AG54)),INDIRECT("für_Einstufung!"&amp;AH$1&amp;$AG54)="n.b."),INDIRECT("für_Einstufung!"&amp;AH$1&amp;$AG54),MID(INDIRECT("für_Einstufung!"&amp;AH$1&amp;$AG54),2,20)*1)</f>
        <v>60</v>
      </c>
      <c r="O54" s="131"/>
      <c r="P54" s="131">
        <f ca="1">IF(OR(ISNUMBER(INDIRECT("für_Einstufung!"&amp;AJ$1&amp;$AG54)),INDIRECT("für_Einstufung!"&amp;AJ$1&amp;$AG54)="n.b."),INDIRECT("für_Einstufung!"&amp;AJ$1&amp;$AG54),MID(INDIRECT("für_Einstufung!"&amp;AJ$1&amp;$AG54),2,20)*1)</f>
        <v>600</v>
      </c>
      <c r="Q54" s="131"/>
      <c r="R54" s="131">
        <f ca="1">IF(OR(ISNUMBER(INDIRECT("für_Einstufung!"&amp;AL$1&amp;$AG54)),INDIRECT("für_Einstufung!"&amp;AL$1&amp;$AG54)="n.b."),INDIRECT("für_Einstufung!"&amp;AL$1&amp;$AG54),MID(INDIRECT("für_Einstufung!"&amp;AL$1&amp;$AG54),2,20)*1)</f>
        <v>600</v>
      </c>
      <c r="S54" s="131"/>
      <c r="T54" s="131">
        <f ca="1">IF(OR(ISNUMBER(INDIRECT("für_Einstufung!"&amp;AN$1&amp;$AG54)),INDIRECT("für_Einstufung!"&amp;AN$1&amp;$AG54)="n.b."),INDIRECT("für_Einstufung!"&amp;AN$1&amp;$AG54),MID(INDIRECT("für_Einstufung!"&amp;AN$1&amp;$AG54),2,20)*1)</f>
        <v>600</v>
      </c>
      <c r="U54" s="131"/>
      <c r="V54" s="157">
        <f ca="1">IF(OR(ISNUMBER(INDIRECT("für_Einstufung!"&amp;AP$1&amp;$AG54)),INDIRECT("für_Einstufung!"&amp;AP$1&amp;$AG54)="n.b."),INDIRECT("für_Einstufung!"&amp;AP$1&amp;$AG54),MID(INDIRECT("für_Einstufung!"&amp;AP$1&amp;$AG54),2,20)*1)</f>
        <v>600</v>
      </c>
      <c r="W54" s="156"/>
      <c r="X54" s="156"/>
      <c r="Y54" s="156"/>
      <c r="Z54" s="156"/>
      <c r="AA54" s="156"/>
      <c r="AB54" s="156"/>
      <c r="AC54" s="156"/>
      <c r="AD54" s="156"/>
      <c r="AE54" s="156"/>
      <c r="AG54" s="104">
        <v>62</v>
      </c>
      <c r="AH54" s="120" t="str">
        <f ca="1">INDIRECT("für_Einstufung!ai$"&amp;AG54)</f>
        <v>Ni_goL &lt; 1 mm</v>
      </c>
    </row>
    <row r="55" spans="1:34" ht="28.2" outlineLevel="1" thickBot="1" x14ac:dyDescent="0.3">
      <c r="A55" s="139" t="s">
        <v>31</v>
      </c>
      <c r="B55" s="138" t="s">
        <v>138</v>
      </c>
      <c r="C55" s="138" t="s">
        <v>31</v>
      </c>
      <c r="D55" s="137">
        <v>1E-3</v>
      </c>
      <c r="E55" s="136">
        <v>2.5000000000000001E-3</v>
      </c>
      <c r="F55" s="135">
        <v>1</v>
      </c>
      <c r="G55" s="134">
        <f>D55/F55</f>
        <v>1E-3</v>
      </c>
      <c r="H55" s="134">
        <f>G55*E55/D55</f>
        <v>2.5000000000000001E-3</v>
      </c>
      <c r="I55" s="133" t="s">
        <v>96</v>
      </c>
      <c r="J55" s="131">
        <f>ROUND(G55*1000000,-1)</f>
        <v>1000</v>
      </c>
      <c r="K55" s="131">
        <f>ROUND(H55*1000000,-1)</f>
        <v>2500</v>
      </c>
      <c r="L55" s="132">
        <f ca="1">INDIRECT("für_Einstufung!A"&amp;M55)</f>
        <v>0</v>
      </c>
      <c r="M55" s="164">
        <v>59</v>
      </c>
      <c r="N55" s="130">
        <f ca="1">IF(OR(ISNUMBER(INDIRECT("für_Einstufung!"&amp;AH$1&amp;$AG55)),INDIRECT("für_Einstufung!"&amp;AH$1&amp;$AG55)="n.b."),INDIRECT("für_Einstufung!"&amp;AH$1&amp;$AG55),MID(INDIRECT("für_Einstufung!"&amp;AH$1&amp;$AG55),2,20)*1)</f>
        <v>70</v>
      </c>
      <c r="O55" s="131"/>
      <c r="P55" s="131">
        <f ca="1">IF(OR(ISNUMBER(INDIRECT("für_Einstufung!"&amp;AJ$1&amp;$AG55)),INDIRECT("für_Einstufung!"&amp;AJ$1&amp;$AG55)="n.b."),INDIRECT("für_Einstufung!"&amp;AJ$1&amp;$AG55),MID(INDIRECT("für_Einstufung!"&amp;AJ$1&amp;$AG55),2,20)*1)</f>
        <v>640</v>
      </c>
      <c r="Q55" s="131"/>
      <c r="R55" s="131">
        <f ca="1">IF(OR(ISNUMBER(INDIRECT("für_Einstufung!"&amp;AL$1&amp;$AG55)),INDIRECT("für_Einstufung!"&amp;AL$1&amp;$AG55)="n.b."),INDIRECT("für_Einstufung!"&amp;AL$1&amp;$AG55),MID(INDIRECT("für_Einstufung!"&amp;AL$1&amp;$AG55),2,20)*1)</f>
        <v>640</v>
      </c>
      <c r="S55" s="131"/>
      <c r="T55" s="131">
        <f ca="1">IF(OR(ISNUMBER(INDIRECT("für_Einstufung!"&amp;AN$1&amp;$AG55)),INDIRECT("für_Einstufung!"&amp;AN$1&amp;$AG55)="n.b."),INDIRECT("für_Einstufung!"&amp;AN$1&amp;$AG55),MID(INDIRECT("für_Einstufung!"&amp;AN$1&amp;$AG55),2,20)*1)</f>
        <v>640</v>
      </c>
      <c r="U55" s="131"/>
      <c r="V55" s="157">
        <f ca="1">IF(OR(ISNUMBER(INDIRECT("für_Einstufung!"&amp;AP$1&amp;$AG55)),INDIRECT("für_Einstufung!"&amp;AP$1&amp;$AG55)="n.b."),INDIRECT("für_Einstufung!"&amp;AP$1&amp;$AG55),MID(INDIRECT("für_Einstufung!"&amp;AP$1&amp;$AG55),2,20)*1)</f>
        <v>640</v>
      </c>
      <c r="W55" s="191" t="str">
        <f ca="1">IF(OR(N55="Fehler (oder n.b.)",N55="n.b."),"n.b.",IF(N55*0.000001&lt;$G55,"&lt; Bgr.",N55*0.000001/$H55))</f>
        <v>&lt; Bgr.</v>
      </c>
      <c r="X55" s="129"/>
      <c r="Y55" s="191" t="str">
        <f ca="1">IF(OR(P55="Fehler (oder n.b.)",P55="n.b."),"n.b.",IF(P55*0.000001&lt;$G55,"&lt; Bgr.",P55*0.000001/$H55))</f>
        <v>&lt; Bgr.</v>
      </c>
      <c r="Z55" s="129"/>
      <c r="AA55" s="191" t="str">
        <f ca="1">IF(OR(R55="Fehler (oder n.b.)",R55="n.b."),"n.b.",IF(R55*0.000001&lt;$G55,"&lt; Bgr.",R55*0.000001/$H55))</f>
        <v>&lt; Bgr.</v>
      </c>
      <c r="AB55" s="129"/>
      <c r="AC55" s="191" t="str">
        <f ca="1">IF(OR(T55="Fehler (oder n.b.)",T55="n.b."),"n.b.",IF(T55*0.000001&lt;$G55,"&lt; Bgr.",T55*0.000001/$H55))</f>
        <v>&lt; Bgr.</v>
      </c>
      <c r="AD55" s="129"/>
      <c r="AE55" s="191" t="str">
        <f ca="1">IF(OR(V55="Fehler (oder n.b.)",V55="n.b."),"n.b.",IF(V55*0.000001&lt;$G55,"&lt; Bgr.",V55*0.000001/$H55))</f>
        <v>&lt; Bgr.</v>
      </c>
      <c r="AG55" s="104">
        <v>63</v>
      </c>
      <c r="AH55" s="120" t="str">
        <f ca="1">INDIRECT("für_Einstufung!ai$"&amp;AG55)</f>
        <v>Pb_goL &lt; 1 mm</v>
      </c>
    </row>
    <row r="56" spans="1:34" ht="28.2" outlineLevel="1" thickBot="1" x14ac:dyDescent="0.3">
      <c r="A56" s="139" t="s">
        <v>30</v>
      </c>
      <c r="B56" s="138" t="s">
        <v>138</v>
      </c>
      <c r="C56" s="138" t="s">
        <v>30</v>
      </c>
      <c r="D56" s="137">
        <v>1E-3</v>
      </c>
      <c r="E56" s="136">
        <v>2.5000000000000001E-3</v>
      </c>
      <c r="F56" s="135">
        <v>1</v>
      </c>
      <c r="G56" s="134">
        <f>D56/F56</f>
        <v>1E-3</v>
      </c>
      <c r="H56" s="134">
        <f>G56*E56/D56</f>
        <v>2.5000000000000001E-3</v>
      </c>
      <c r="I56" s="133" t="s">
        <v>96</v>
      </c>
      <c r="J56" s="131">
        <f>ROUND(G56*1000000,-1)</f>
        <v>1000</v>
      </c>
      <c r="K56" s="131">
        <f>ROUND(H56*1000000,-1)</f>
        <v>2500</v>
      </c>
      <c r="L56" s="132">
        <f ca="1">INDIRECT("für_Einstufung!A"&amp;M56)</f>
        <v>0</v>
      </c>
      <c r="M56" s="164">
        <v>57</v>
      </c>
      <c r="N56" s="130">
        <f ca="1">IF(OR(ISNUMBER(INDIRECT("für_Einstufung!"&amp;AH$1&amp;$AG56)),INDIRECT("für_Einstufung!"&amp;AH$1&amp;$AG56)="n.b."),INDIRECT("für_Einstufung!"&amp;AH$1&amp;$AG56),MID(INDIRECT("für_Einstufung!"&amp;AH$1&amp;$AG56),2,20)*1)</f>
        <v>80</v>
      </c>
      <c r="O56" s="131"/>
      <c r="P56" s="131">
        <f ca="1">IF(OR(ISNUMBER(INDIRECT("für_Einstufung!"&amp;AJ$1&amp;$AG56)),INDIRECT("für_Einstufung!"&amp;AJ$1&amp;$AG56)="n.b."),INDIRECT("für_Einstufung!"&amp;AJ$1&amp;$AG56),MID(INDIRECT("für_Einstufung!"&amp;AJ$1&amp;$AG56),2,20)*1)</f>
        <v>680</v>
      </c>
      <c r="Q56" s="131"/>
      <c r="R56" s="131">
        <f ca="1">IF(OR(ISNUMBER(INDIRECT("für_Einstufung!"&amp;AL$1&amp;$AG56)),INDIRECT("für_Einstufung!"&amp;AL$1&amp;$AG56)="n.b."),INDIRECT("für_Einstufung!"&amp;AL$1&amp;$AG56),MID(INDIRECT("für_Einstufung!"&amp;AL$1&amp;$AG56),2,20)*1)</f>
        <v>680</v>
      </c>
      <c r="S56" s="131"/>
      <c r="T56" s="131">
        <f ca="1">IF(OR(ISNUMBER(INDIRECT("für_Einstufung!"&amp;AN$1&amp;$AG56)),INDIRECT("für_Einstufung!"&amp;AN$1&amp;$AG56)="n.b."),INDIRECT("für_Einstufung!"&amp;AN$1&amp;$AG56),MID(INDIRECT("für_Einstufung!"&amp;AN$1&amp;$AG56),2,20)*1)</f>
        <v>680</v>
      </c>
      <c r="U56" s="131"/>
      <c r="V56" s="157">
        <f ca="1">IF(OR(ISNUMBER(INDIRECT("für_Einstufung!"&amp;AP$1&amp;$AG56)),INDIRECT("für_Einstufung!"&amp;AP$1&amp;$AG56)="n.b."),INDIRECT("für_Einstufung!"&amp;AP$1&amp;$AG56),MID(INDIRECT("für_Einstufung!"&amp;AP$1&amp;$AG56),2,20)*1)</f>
        <v>680</v>
      </c>
      <c r="W56" s="191" t="str">
        <f ca="1">IF(OR(N56="Fehler (oder n.b.)",N56="n.b."),"n.b.",IF(N56*0.000001&lt;$G56,"&lt; Bgr.",N56*0.000001/$H56))</f>
        <v>&lt; Bgr.</v>
      </c>
      <c r="X56" s="129"/>
      <c r="Y56" s="191" t="str">
        <f ca="1">IF(OR(P56="Fehler (oder n.b.)",P56="n.b."),"n.b.",IF(P56*0.000001&lt;$G56,"&lt; Bgr.",P56*0.000001/$H56))</f>
        <v>&lt; Bgr.</v>
      </c>
      <c r="Z56" s="129"/>
      <c r="AA56" s="191" t="str">
        <f ca="1">IF(OR(R56="Fehler (oder n.b.)",R56="n.b."),"n.b.",IF(R56*0.000001&lt;$G56,"&lt; Bgr.",R56*0.000001/$H56))</f>
        <v>&lt; Bgr.</v>
      </c>
      <c r="AB56" s="129"/>
      <c r="AC56" s="191" t="str">
        <f ca="1">IF(OR(T56="Fehler (oder n.b.)",T56="n.b."),"n.b.",IF(T56*0.000001&lt;$G56,"&lt; Bgr.",T56*0.000001/$H56))</f>
        <v>&lt; Bgr.</v>
      </c>
      <c r="AD56" s="129"/>
      <c r="AE56" s="191" t="str">
        <f ca="1">IF(OR(V56="Fehler (oder n.b.)",V56="n.b."),"n.b.",IF(V56*0.000001&lt;$G56,"&lt; Bgr.",V56*0.000001/$H56))</f>
        <v>&lt; Bgr.</v>
      </c>
      <c r="AG56" s="104">
        <v>64</v>
      </c>
      <c r="AH56" s="120" t="str">
        <f ca="1">INDIRECT("für_Einstufung!ai$"&amp;AG56)</f>
        <v>Zn_goL &lt; 1 mm</v>
      </c>
    </row>
    <row r="57" spans="1:34" s="121" customFormat="1" outlineLevel="1" thickBot="1" x14ac:dyDescent="0.35">
      <c r="A57" s="128" t="s">
        <v>137</v>
      </c>
      <c r="B57" s="126"/>
      <c r="C57" s="125"/>
      <c r="D57" s="125"/>
      <c r="E57" s="125"/>
      <c r="F57" s="125"/>
      <c r="G57" s="217"/>
      <c r="H57" s="217"/>
      <c r="I57" s="125"/>
      <c r="J57" s="125"/>
      <c r="K57" s="125"/>
      <c r="L57" s="126"/>
      <c r="M57" s="125"/>
      <c r="N57" s="125"/>
      <c r="O57" s="125"/>
      <c r="P57" s="125"/>
      <c r="Q57" s="125"/>
      <c r="R57" s="125"/>
      <c r="S57" s="125"/>
      <c r="T57" s="125"/>
      <c r="U57" s="125"/>
      <c r="V57" s="216"/>
      <c r="W57" s="123">
        <f ca="1">SUM(W53:W56)</f>
        <v>0</v>
      </c>
      <c r="X57" s="122"/>
      <c r="Y57" s="122">
        <f ca="1">SUM(Y53:Y56)</f>
        <v>0</v>
      </c>
      <c r="Z57" s="122"/>
      <c r="AA57" s="122">
        <f ca="1">SUM(AA53:AA56)</f>
        <v>0</v>
      </c>
      <c r="AB57" s="122"/>
      <c r="AC57" s="122">
        <f ca="1">SUM(AC53:AC56)</f>
        <v>0</v>
      </c>
      <c r="AD57" s="122"/>
      <c r="AE57" s="122">
        <f ca="1">SUM(AE53:AE56)</f>
        <v>0</v>
      </c>
      <c r="AF57" s="93"/>
      <c r="AG57" s="104"/>
      <c r="AH57" s="120"/>
    </row>
    <row r="58" spans="1:34" outlineLevel="1" thickBot="1" x14ac:dyDescent="0.35">
      <c r="A58" s="119" t="s">
        <v>105</v>
      </c>
      <c r="B58" s="93"/>
      <c r="I58" s="93"/>
      <c r="J58" s="93"/>
      <c r="M58" s="113"/>
      <c r="N58" s="113"/>
      <c r="O58" s="113"/>
      <c r="P58" s="113"/>
      <c r="Q58" s="113"/>
      <c r="R58" s="113"/>
      <c r="S58" s="113"/>
      <c r="T58" s="113"/>
      <c r="U58" s="113"/>
      <c r="V58" s="113"/>
      <c r="W58" s="112"/>
      <c r="X58" s="112"/>
      <c r="Y58" s="112"/>
      <c r="Z58" s="112"/>
      <c r="AA58" s="112"/>
      <c r="AB58" s="112"/>
      <c r="AC58" s="112"/>
      <c r="AD58" s="112"/>
      <c r="AE58" s="112"/>
    </row>
    <row r="59" spans="1:34" outlineLevel="1" thickBot="1" x14ac:dyDescent="0.35">
      <c r="A59" s="139" t="s">
        <v>33</v>
      </c>
      <c r="B59" s="151"/>
      <c r="C59" s="151"/>
      <c r="D59" s="150"/>
      <c r="E59" s="149"/>
      <c r="F59" s="148"/>
      <c r="G59" s="149"/>
      <c r="H59" s="149"/>
      <c r="I59" s="146"/>
      <c r="J59" s="146"/>
      <c r="K59" s="146"/>
      <c r="M59" s="113"/>
      <c r="N59" s="130">
        <f ca="1">IF(OR(ISNUMBER(INDIRECT("für_Einstufung!"&amp;AH$1&amp;$AG59)),INDIRECT("für_Einstufung!"&amp;AH$1&amp;$AG59)="n.b."),INDIRECT("für_Einstufung!"&amp;AH$1&amp;$AG59),MID(INDIRECT("für_Einstufung!"&amp;AH$1&amp;$AG59),2,20)*1)</f>
        <v>408</v>
      </c>
      <c r="O59" s="131"/>
      <c r="P59" s="131">
        <f ca="1">IF(OR(ISNUMBER(INDIRECT("für_Einstufung!"&amp;AJ$1&amp;$AG59)),INDIRECT("für_Einstufung!"&amp;AJ$1&amp;$AG59)="n.b."),INDIRECT("für_Einstufung!"&amp;AJ$1&amp;$AG59),MID(INDIRECT("für_Einstufung!"&amp;AJ$1&amp;$AG59),2,20)*1)</f>
        <v>404</v>
      </c>
      <c r="Q59" s="131"/>
      <c r="R59" s="131">
        <f ca="1">IF(OR(ISNUMBER(INDIRECT("für_Einstufung!"&amp;AL$1&amp;$AG59)),INDIRECT("für_Einstufung!"&amp;AL$1&amp;$AG59)="n.b."),INDIRECT("für_Einstufung!"&amp;AL$1&amp;$AG59),MID(INDIRECT("für_Einstufung!"&amp;AL$1&amp;$AG59),2,20)*1)</f>
        <v>404</v>
      </c>
      <c r="S59" s="131"/>
      <c r="T59" s="131">
        <f ca="1">IF(OR(ISNUMBER(INDIRECT("für_Einstufung!"&amp;AN$1&amp;$AG59)),INDIRECT("für_Einstufung!"&amp;AN$1&amp;$AG59)="n.b."),INDIRECT("für_Einstufung!"&amp;AN$1&amp;$AG59),MID(INDIRECT("für_Einstufung!"&amp;AN$1&amp;$AG59),2,20)*1)</f>
        <v>404</v>
      </c>
      <c r="U59" s="131"/>
      <c r="V59" s="157">
        <f ca="1">IF(OR(ISNUMBER(INDIRECT("für_Einstufung!"&amp;AP$1&amp;$AG59)),INDIRECT("für_Einstufung!"&amp;AP$1&amp;$AG59)="n.b."),INDIRECT("für_Einstufung!"&amp;AP$1&amp;$AG59),MID(INDIRECT("für_Einstufung!"&amp;AP$1&amp;$AG59),2,20)*1)</f>
        <v>404</v>
      </c>
      <c r="W59" s="156"/>
      <c r="X59" s="156"/>
      <c r="Y59" s="156"/>
      <c r="Z59" s="156"/>
      <c r="AA59" s="156"/>
      <c r="AB59" s="156"/>
      <c r="AC59" s="156"/>
      <c r="AD59" s="156"/>
      <c r="AE59" s="156"/>
      <c r="AG59" s="104">
        <v>68</v>
      </c>
      <c r="AH59" s="120" t="str">
        <f ca="1">INDIRECT("für_Einstufung!ai$"&amp;AG59)</f>
        <v>Cu_min_ges</v>
      </c>
    </row>
    <row r="60" spans="1:34" outlineLevel="1" thickBot="1" x14ac:dyDescent="0.35">
      <c r="A60" s="139" t="s">
        <v>30</v>
      </c>
      <c r="B60" s="151"/>
      <c r="C60" s="151"/>
      <c r="D60" s="150"/>
      <c r="E60" s="149"/>
      <c r="F60" s="148"/>
      <c r="G60" s="149"/>
      <c r="H60" s="149"/>
      <c r="I60" s="146"/>
      <c r="J60" s="146"/>
      <c r="K60" s="146"/>
      <c r="M60" s="113"/>
      <c r="N60" s="130">
        <f ca="1">IF(OR(ISNUMBER(INDIRECT("für_Einstufung!"&amp;AH$1&amp;$AG60)),INDIRECT("für_Einstufung!"&amp;AH$1&amp;$AG60)="n.b."),INDIRECT("für_Einstufung!"&amp;AH$1&amp;$AG60),MID(INDIRECT("für_Einstufung!"&amp;AH$1&amp;$AG60),2,20)*1)</f>
        <v>680</v>
      </c>
      <c r="O60" s="131"/>
      <c r="P60" s="131">
        <f ca="1">IF(OR(ISNUMBER(INDIRECT("für_Einstufung!"&amp;AJ$1&amp;$AG60)),INDIRECT("für_Einstufung!"&amp;AJ$1&amp;$AG60)="n.b."),INDIRECT("für_Einstufung!"&amp;AJ$1&amp;$AG60),MID(INDIRECT("für_Einstufung!"&amp;AJ$1&amp;$AG60),2,20)*1)</f>
        <v>674</v>
      </c>
      <c r="Q60" s="131"/>
      <c r="R60" s="131">
        <f ca="1">IF(OR(ISNUMBER(INDIRECT("für_Einstufung!"&amp;AL$1&amp;$AG60)),INDIRECT("für_Einstufung!"&amp;AL$1&amp;$AG60)="n.b."),INDIRECT("für_Einstufung!"&amp;AL$1&amp;$AG60),MID(INDIRECT("für_Einstufung!"&amp;AL$1&amp;$AG60),2,20)*1)</f>
        <v>674</v>
      </c>
      <c r="S60" s="131"/>
      <c r="T60" s="131">
        <f ca="1">IF(OR(ISNUMBER(INDIRECT("für_Einstufung!"&amp;AN$1&amp;$AG60)),INDIRECT("für_Einstufung!"&amp;AN$1&amp;$AG60)="n.b."),INDIRECT("für_Einstufung!"&amp;AN$1&amp;$AG60),MID(INDIRECT("für_Einstufung!"&amp;AN$1&amp;$AG60),2,20)*1)</f>
        <v>674</v>
      </c>
      <c r="U60" s="131"/>
      <c r="V60" s="157">
        <f ca="1">IF(OR(ISNUMBER(INDIRECT("für_Einstufung!"&amp;AP$1&amp;$AG60)),INDIRECT("für_Einstufung!"&amp;AP$1&amp;$AG60)="n.b."),INDIRECT("für_Einstufung!"&amp;AP$1&amp;$AG60),MID(INDIRECT("für_Einstufung!"&amp;AP$1&amp;$AG60),2,20)*1)</f>
        <v>674</v>
      </c>
      <c r="W60" s="156"/>
      <c r="X60" s="156"/>
      <c r="Y60" s="156"/>
      <c r="Z60" s="156"/>
      <c r="AA60" s="156"/>
      <c r="AB60" s="156"/>
      <c r="AC60" s="156"/>
      <c r="AD60" s="156"/>
      <c r="AE60" s="156"/>
      <c r="AG60" s="104">
        <v>69</v>
      </c>
      <c r="AH60" s="120" t="str">
        <f ca="1">INDIRECT("für_Einstufung!ai$"&amp;AG60)</f>
        <v>Ni_min_ges</v>
      </c>
    </row>
    <row r="61" spans="1:34" outlineLevel="1" thickBot="1" x14ac:dyDescent="0.35">
      <c r="A61" s="139" t="s">
        <v>32</v>
      </c>
      <c r="B61" s="151"/>
      <c r="C61" s="151"/>
      <c r="D61" s="150"/>
      <c r="E61" s="149"/>
      <c r="F61" s="148"/>
      <c r="G61" s="149"/>
      <c r="H61" s="149"/>
      <c r="I61" s="146"/>
      <c r="J61" s="146"/>
      <c r="K61" s="146"/>
      <c r="M61" s="113"/>
      <c r="N61" s="130">
        <f ca="1">IF(OR(ISNUMBER(INDIRECT("für_Einstufung!"&amp;AH$1&amp;$AG61)),INDIRECT("für_Einstufung!"&amp;AH$1&amp;$AG61)="n.b."),INDIRECT("für_Einstufung!"&amp;AH$1&amp;$AG61),MID(INDIRECT("für_Einstufung!"&amp;AH$1&amp;$AG61),2,20)*1)</f>
        <v>771</v>
      </c>
      <c r="O61" s="131"/>
      <c r="P61" s="131">
        <f ca="1">IF(OR(ISNUMBER(INDIRECT("für_Einstufung!"&amp;AJ$1&amp;$AG61)),INDIRECT("für_Einstufung!"&amp;AJ$1&amp;$AG61)="n.b."),INDIRECT("für_Einstufung!"&amp;AJ$1&amp;$AG61),MID(INDIRECT("für_Einstufung!"&amp;AJ$1&amp;$AG61),2,20)*1)</f>
        <v>763</v>
      </c>
      <c r="Q61" s="131"/>
      <c r="R61" s="131">
        <f ca="1">IF(OR(ISNUMBER(INDIRECT("für_Einstufung!"&amp;AL$1&amp;$AG61)),INDIRECT("für_Einstufung!"&amp;AL$1&amp;$AG61)="n.b."),INDIRECT("für_Einstufung!"&amp;AL$1&amp;$AG61),MID(INDIRECT("für_Einstufung!"&amp;AL$1&amp;$AG61),2,20)*1)</f>
        <v>763</v>
      </c>
      <c r="S61" s="131"/>
      <c r="T61" s="131">
        <f ca="1">IF(OR(ISNUMBER(INDIRECT("für_Einstufung!"&amp;AN$1&amp;$AG61)),INDIRECT("für_Einstufung!"&amp;AN$1&amp;$AG61)="n.b."),INDIRECT("für_Einstufung!"&amp;AN$1&amp;$AG61),MID(INDIRECT("für_Einstufung!"&amp;AN$1&amp;$AG61),2,20)*1)</f>
        <v>763</v>
      </c>
      <c r="U61" s="131"/>
      <c r="V61" s="157">
        <f ca="1">IF(OR(ISNUMBER(INDIRECT("für_Einstufung!"&amp;AP$1&amp;$AG61)),INDIRECT("für_Einstufung!"&amp;AP$1&amp;$AG61)="n.b."),INDIRECT("für_Einstufung!"&amp;AP$1&amp;$AG61),MID(INDIRECT("für_Einstufung!"&amp;AP$1&amp;$AG61),2,20)*1)</f>
        <v>763</v>
      </c>
      <c r="W61" s="156"/>
      <c r="X61" s="156"/>
      <c r="Y61" s="156"/>
      <c r="Z61" s="156"/>
      <c r="AA61" s="156"/>
      <c r="AB61" s="156"/>
      <c r="AC61" s="156"/>
      <c r="AD61" s="156"/>
      <c r="AE61" s="156"/>
      <c r="AG61" s="104">
        <v>70</v>
      </c>
      <c r="AH61" s="120" t="str">
        <f ca="1">INDIRECT("für_Einstufung!ai$"&amp;AG61)</f>
        <v>Pb_min_ges</v>
      </c>
    </row>
    <row r="62" spans="1:34" outlineLevel="1" thickBot="1" x14ac:dyDescent="0.35">
      <c r="A62" s="139" t="s">
        <v>31</v>
      </c>
      <c r="B62" s="151"/>
      <c r="C62" s="151"/>
      <c r="D62" s="150"/>
      <c r="E62" s="149"/>
      <c r="F62" s="148"/>
      <c r="G62" s="149"/>
      <c r="H62" s="149"/>
      <c r="I62" s="146"/>
      <c r="J62" s="146"/>
      <c r="K62" s="146"/>
      <c r="M62" s="113"/>
      <c r="N62" s="130">
        <f ca="1">IF(OR(ISNUMBER(INDIRECT("für_Einstufung!"&amp;AH$1&amp;$AG62)),INDIRECT("für_Einstufung!"&amp;AH$1&amp;$AG62)="n.b."),INDIRECT("für_Einstufung!"&amp;AH$1&amp;$AG62),MID(INDIRECT("für_Einstufung!"&amp;AH$1&amp;$AG62),2,20)*1)</f>
        <v>1130</v>
      </c>
      <c r="O62" s="131"/>
      <c r="P62" s="131">
        <f ca="1">IF(OR(ISNUMBER(INDIRECT("für_Einstufung!"&amp;AJ$1&amp;$AG62)),INDIRECT("für_Einstufung!"&amp;AJ$1&amp;$AG62)="n.b."),INDIRECT("für_Einstufung!"&amp;AJ$1&amp;$AG62),MID(INDIRECT("für_Einstufung!"&amp;AJ$1&amp;$AG62),2,20)*1)</f>
        <v>1120</v>
      </c>
      <c r="Q62" s="131"/>
      <c r="R62" s="131">
        <f ca="1">IF(OR(ISNUMBER(INDIRECT("für_Einstufung!"&amp;AL$1&amp;$AG62)),INDIRECT("für_Einstufung!"&amp;AL$1&amp;$AG62)="n.b."),INDIRECT("für_Einstufung!"&amp;AL$1&amp;$AG62),MID(INDIRECT("für_Einstufung!"&amp;AL$1&amp;$AG62),2,20)*1)</f>
        <v>1120</v>
      </c>
      <c r="S62" s="131"/>
      <c r="T62" s="131">
        <f ca="1">IF(OR(ISNUMBER(INDIRECT("für_Einstufung!"&amp;AN$1&amp;$AG62)),INDIRECT("für_Einstufung!"&amp;AN$1&amp;$AG62)="n.b."),INDIRECT("für_Einstufung!"&amp;AN$1&amp;$AG62),MID(INDIRECT("für_Einstufung!"&amp;AN$1&amp;$AG62),2,20)*1)</f>
        <v>1120</v>
      </c>
      <c r="U62" s="131"/>
      <c r="V62" s="157">
        <f ca="1">IF(OR(ISNUMBER(INDIRECT("für_Einstufung!"&amp;AP$1&amp;$AG62)),INDIRECT("für_Einstufung!"&amp;AP$1&amp;$AG62)="n.b."),INDIRECT("für_Einstufung!"&amp;AP$1&amp;$AG62),MID(INDIRECT("für_Einstufung!"&amp;AP$1&amp;$AG62),2,20)*1)</f>
        <v>1120</v>
      </c>
      <c r="W62" s="156"/>
      <c r="X62" s="156"/>
      <c r="Y62" s="156"/>
      <c r="Z62" s="156"/>
      <c r="AA62" s="156"/>
      <c r="AB62" s="156"/>
      <c r="AC62" s="156"/>
      <c r="AD62" s="156"/>
      <c r="AE62" s="156"/>
      <c r="AG62" s="104">
        <v>71</v>
      </c>
      <c r="AH62" s="120" t="str">
        <f ca="1">INDIRECT("für_Einstufung!ai$"&amp;AG62)</f>
        <v>Zn_min_ges</v>
      </c>
    </row>
    <row r="63" spans="1:34" outlineLevel="1" thickBot="1" x14ac:dyDescent="0.3">
      <c r="A63" s="193" t="s">
        <v>150</v>
      </c>
      <c r="B63" s="151"/>
      <c r="C63" s="151"/>
      <c r="D63" s="150"/>
      <c r="E63" s="149"/>
      <c r="F63" s="148"/>
      <c r="G63" s="149"/>
      <c r="H63" s="149"/>
      <c r="I63" s="146"/>
      <c r="J63" s="146"/>
      <c r="K63" s="146"/>
      <c r="L63" s="145"/>
      <c r="M63" s="144"/>
      <c r="N63" s="144"/>
      <c r="O63" s="144"/>
      <c r="P63" s="144"/>
      <c r="Q63" s="144"/>
      <c r="R63" s="144"/>
      <c r="S63" s="144"/>
      <c r="T63" s="144"/>
      <c r="U63" s="144"/>
      <c r="V63" s="143"/>
      <c r="W63" s="215"/>
      <c r="X63" s="215"/>
      <c r="Y63" s="215"/>
      <c r="Z63" s="215"/>
      <c r="AA63" s="215"/>
      <c r="AB63" s="215"/>
      <c r="AC63" s="215"/>
      <c r="AD63" s="215"/>
      <c r="AE63" s="191"/>
      <c r="AH63" s="120"/>
    </row>
    <row r="64" spans="1:34" ht="28.2" outlineLevel="1" thickBot="1" x14ac:dyDescent="0.3">
      <c r="A64" s="139" t="s">
        <v>33</v>
      </c>
      <c r="B64" s="138" t="s">
        <v>103</v>
      </c>
      <c r="C64" s="151" t="str">
        <f>A64</f>
        <v>Cu</v>
      </c>
      <c r="D64" s="150"/>
      <c r="E64" s="149"/>
      <c r="F64" s="148"/>
      <c r="G64" s="149"/>
      <c r="H64" s="149"/>
      <c r="I64" s="146"/>
      <c r="J64" s="146"/>
      <c r="K64" s="146"/>
      <c r="L64" s="145"/>
      <c r="M64" s="144"/>
      <c r="N64" s="130">
        <f t="shared" ref="N64:V64" ca="1" si="27">IFERROR(N54*0.7,"n.b.")</f>
        <v>42</v>
      </c>
      <c r="O64" s="130">
        <f t="shared" si="27"/>
        <v>0</v>
      </c>
      <c r="P64" s="130">
        <f t="shared" ca="1" si="27"/>
        <v>420</v>
      </c>
      <c r="Q64" s="130">
        <f t="shared" si="27"/>
        <v>0</v>
      </c>
      <c r="R64" s="130">
        <f t="shared" ca="1" si="27"/>
        <v>420</v>
      </c>
      <c r="S64" s="130">
        <f t="shared" si="27"/>
        <v>0</v>
      </c>
      <c r="T64" s="130">
        <f t="shared" ca="1" si="27"/>
        <v>420</v>
      </c>
      <c r="U64" s="130">
        <f t="shared" si="27"/>
        <v>0</v>
      </c>
      <c r="V64" s="130">
        <f t="shared" ca="1" si="27"/>
        <v>420</v>
      </c>
      <c r="W64" s="156"/>
      <c r="X64" s="156"/>
      <c r="Y64" s="156"/>
      <c r="Z64" s="156"/>
      <c r="AA64" s="156"/>
      <c r="AB64" s="156"/>
      <c r="AC64" s="156"/>
      <c r="AD64" s="156"/>
      <c r="AE64" s="156"/>
      <c r="AG64" s="104">
        <v>74</v>
      </c>
      <c r="AH64" s="120" t="str">
        <f ca="1">INDIRECT("für_Einstufung!ai$"&amp;AG64)</f>
        <v>Cu_Stoffgr. 1</v>
      </c>
    </row>
    <row r="65" spans="1:34" ht="28.2" outlineLevel="1" thickBot="1" x14ac:dyDescent="0.3">
      <c r="A65" s="139" t="s">
        <v>32</v>
      </c>
      <c r="B65" s="138" t="s">
        <v>103</v>
      </c>
      <c r="C65" s="151" t="str">
        <f>A65</f>
        <v>Ni</v>
      </c>
      <c r="D65" s="150"/>
      <c r="E65" s="149"/>
      <c r="F65" s="148"/>
      <c r="G65" s="149"/>
      <c r="H65" s="149"/>
      <c r="I65" s="146"/>
      <c r="J65" s="146"/>
      <c r="K65" s="146"/>
      <c r="L65" s="145"/>
      <c r="M65" s="144"/>
      <c r="N65" s="130">
        <f t="shared" ref="N65:V65" ca="1" si="28">IFERROR(N56*0.6,"n.b.")</f>
        <v>48</v>
      </c>
      <c r="O65" s="130">
        <f t="shared" si="28"/>
        <v>0</v>
      </c>
      <c r="P65" s="130">
        <f t="shared" ca="1" si="28"/>
        <v>408</v>
      </c>
      <c r="Q65" s="130">
        <f t="shared" si="28"/>
        <v>0</v>
      </c>
      <c r="R65" s="130">
        <f t="shared" ca="1" si="28"/>
        <v>408</v>
      </c>
      <c r="S65" s="130">
        <f t="shared" si="28"/>
        <v>0</v>
      </c>
      <c r="T65" s="130">
        <f t="shared" ca="1" si="28"/>
        <v>408</v>
      </c>
      <c r="U65" s="130">
        <f t="shared" si="28"/>
        <v>0</v>
      </c>
      <c r="V65" s="130">
        <f t="shared" ca="1" si="28"/>
        <v>408</v>
      </c>
      <c r="W65" s="156"/>
      <c r="X65" s="156"/>
      <c r="Y65" s="156"/>
      <c r="Z65" s="156"/>
      <c r="AA65" s="156"/>
      <c r="AB65" s="156"/>
      <c r="AC65" s="156"/>
      <c r="AD65" s="156"/>
      <c r="AE65" s="156"/>
      <c r="AG65" s="104">
        <v>75</v>
      </c>
      <c r="AH65" s="120" t="str">
        <f ca="1">INDIRECT("für_Einstufung!ai$"&amp;AG65)</f>
        <v>Ni_Stoffgr. 1</v>
      </c>
    </row>
    <row r="66" spans="1:34" ht="28.2" outlineLevel="1" thickBot="1" x14ac:dyDescent="0.3">
      <c r="A66" s="139" t="s">
        <v>31</v>
      </c>
      <c r="B66" s="138" t="s">
        <v>103</v>
      </c>
      <c r="C66" s="138" t="s">
        <v>31</v>
      </c>
      <c r="D66" s="137">
        <v>1E-3</v>
      </c>
      <c r="E66" s="136">
        <v>2.5000000000000001E-3</v>
      </c>
      <c r="F66" s="135">
        <v>1</v>
      </c>
      <c r="G66" s="134">
        <f>D66/F66</f>
        <v>1E-3</v>
      </c>
      <c r="H66" s="134">
        <f>G66*E66/D66</f>
        <v>2.5000000000000001E-3</v>
      </c>
      <c r="I66" s="133" t="s">
        <v>96</v>
      </c>
      <c r="J66" s="131">
        <f>ROUND(G66*1000000,-1)</f>
        <v>1000</v>
      </c>
      <c r="K66" s="131">
        <f>ROUND(H66*1000000,-1)</f>
        <v>2500</v>
      </c>
      <c r="L66" s="132">
        <f ca="1">INDIRECT("für_Einstufung!A"&amp;M66)</f>
        <v>0</v>
      </c>
      <c r="M66" s="164">
        <v>68</v>
      </c>
      <c r="N66" s="130">
        <f ca="1">IF(OR(ISNUMBER(INDIRECT("für_Einstufung!"&amp;AH$1&amp;$AG66)),INDIRECT("für_Einstufung!"&amp;AH$1&amp;$AG66)="n.b."),INDIRECT("für_Einstufung!"&amp;AH$1&amp;$AG66),MID(INDIRECT("für_Einstufung!"&amp;AH$1&amp;$AG66),2,20)*1)</f>
        <v>308</v>
      </c>
      <c r="O66" s="131"/>
      <c r="P66" s="131">
        <f ca="1">IF(OR(ISNUMBER(INDIRECT("für_Einstufung!"&amp;AJ$1&amp;$AG66)),INDIRECT("für_Einstufung!"&amp;AJ$1&amp;$AG66)="n.b."),INDIRECT("für_Einstufung!"&amp;AJ$1&amp;$AG66),MID(INDIRECT("für_Einstufung!"&amp;AJ$1&amp;$AG66),2,20)*1)</f>
        <v>305</v>
      </c>
      <c r="Q66" s="131"/>
      <c r="R66" s="131">
        <f ca="1">IF(OR(ISNUMBER(INDIRECT("für_Einstufung!"&amp;AL$1&amp;$AG66)),INDIRECT("für_Einstufung!"&amp;AL$1&amp;$AG66)="n.b."),INDIRECT("für_Einstufung!"&amp;AL$1&amp;$AG66),MID(INDIRECT("für_Einstufung!"&amp;AL$1&amp;$AG66),2,20)*1)</f>
        <v>305</v>
      </c>
      <c r="S66" s="131"/>
      <c r="T66" s="131">
        <f ca="1">IF(OR(ISNUMBER(INDIRECT("für_Einstufung!"&amp;AN$1&amp;$AG66)),INDIRECT("für_Einstufung!"&amp;AN$1&amp;$AG66)="n.b."),INDIRECT("für_Einstufung!"&amp;AN$1&amp;$AG66),MID(INDIRECT("für_Einstufung!"&amp;AN$1&amp;$AG66),2,20)*1)</f>
        <v>305</v>
      </c>
      <c r="U66" s="131"/>
      <c r="V66" s="157">
        <f ca="1">IF(OR(ISNUMBER(INDIRECT("für_Einstufung!"&amp;AP$1&amp;$AG66)),INDIRECT("für_Einstufung!"&amp;AP$1&amp;$AG66)="n.b."),INDIRECT("für_Einstufung!"&amp;AP$1&amp;$AG66),MID(INDIRECT("für_Einstufung!"&amp;AP$1&amp;$AG66),2,20)*1)</f>
        <v>305</v>
      </c>
      <c r="W66" s="191" t="str">
        <f ca="1">IF(N66="n.b.","n.b.",IF(N66*0.000001&lt;$G66,"&lt; Bgr.",N66*0.000001/$H66))</f>
        <v>&lt; Bgr.</v>
      </c>
      <c r="X66" s="129"/>
      <c r="Y66" s="129" t="str">
        <f ca="1">IF(P66="n.b.","n.b.",IF(P66*0.000001&lt;$G66,"&lt; Bgr.",P66*0.000001/$H66))</f>
        <v>&lt; Bgr.</v>
      </c>
      <c r="Z66" s="129"/>
      <c r="AA66" s="129" t="str">
        <f ca="1">IF(R66="n.b.","n.b.",IF(R66*0.000001&lt;$G66,"&lt; Bgr.",R66*0.000001/$H66))</f>
        <v>&lt; Bgr.</v>
      </c>
      <c r="AB66" s="129"/>
      <c r="AC66" s="129" t="str">
        <f ca="1">IF(T66="n.b.","n.b.",IF(T66*0.000001&lt;$G66,"&lt; Bgr.",T66*0.000001/$H66))</f>
        <v>&lt; Bgr.</v>
      </c>
      <c r="AD66" s="129"/>
      <c r="AE66" s="129" t="str">
        <f ca="1">IF(V66="n.b.","n.b.",IF(V66*0.000001&lt;$G66,"&lt; Bgr.",V66*0.000001/$H66))</f>
        <v>&lt; Bgr.</v>
      </c>
      <c r="AG66" s="104">
        <v>76</v>
      </c>
      <c r="AH66" s="120" t="str">
        <f ca="1">INDIRECT("für_Einstufung!ai$"&amp;AG66)</f>
        <v>Pb_Stoffgr. 1</v>
      </c>
    </row>
    <row r="67" spans="1:34" ht="28.2" outlineLevel="1" thickBot="1" x14ac:dyDescent="0.3">
      <c r="A67" s="139" t="s">
        <v>30</v>
      </c>
      <c r="B67" s="138" t="s">
        <v>103</v>
      </c>
      <c r="C67" s="151" t="str">
        <f>A67</f>
        <v>Zn</v>
      </c>
      <c r="D67" s="150"/>
      <c r="E67" s="149"/>
      <c r="F67" s="148"/>
      <c r="G67" s="149"/>
      <c r="H67" s="149"/>
      <c r="I67" s="146"/>
      <c r="J67" s="146"/>
      <c r="K67" s="146"/>
      <c r="L67" s="145"/>
      <c r="M67" s="144"/>
      <c r="N67" s="130">
        <f t="shared" ref="N67:V67" ca="1" si="29">IFERROR(N55*0.5,"n.b.")</f>
        <v>35</v>
      </c>
      <c r="O67" s="130">
        <f t="shared" si="29"/>
        <v>0</v>
      </c>
      <c r="P67" s="130">
        <f t="shared" ca="1" si="29"/>
        <v>320</v>
      </c>
      <c r="Q67" s="130">
        <f t="shared" si="29"/>
        <v>0</v>
      </c>
      <c r="R67" s="130">
        <f t="shared" ca="1" si="29"/>
        <v>320</v>
      </c>
      <c r="S67" s="130">
        <f t="shared" si="29"/>
        <v>0</v>
      </c>
      <c r="T67" s="130">
        <f t="shared" ca="1" si="29"/>
        <v>320</v>
      </c>
      <c r="U67" s="130">
        <f t="shared" si="29"/>
        <v>0</v>
      </c>
      <c r="V67" s="130">
        <f t="shared" ca="1" si="29"/>
        <v>320</v>
      </c>
      <c r="W67" s="156"/>
      <c r="X67" s="156"/>
      <c r="Y67" s="156"/>
      <c r="Z67" s="156"/>
      <c r="AA67" s="156"/>
      <c r="AB67" s="156"/>
      <c r="AC67" s="156"/>
      <c r="AD67" s="156"/>
      <c r="AE67" s="156"/>
      <c r="AG67" s="104">
        <v>77</v>
      </c>
      <c r="AH67" s="120" t="str">
        <f ca="1">INDIRECT("für_Einstufung!ai$"&amp;AG67)</f>
        <v>Zn_Stoffgr. 1</v>
      </c>
    </row>
    <row r="68" spans="1:34" s="121" customFormat="1" outlineLevel="1" thickBot="1" x14ac:dyDescent="0.35">
      <c r="A68" s="155" t="s">
        <v>102</v>
      </c>
      <c r="B68" s="153"/>
      <c r="G68" s="154"/>
      <c r="H68" s="154"/>
      <c r="L68" s="153"/>
      <c r="V68" s="124"/>
      <c r="W68" s="123">
        <f ca="1">SUM(W66:W66)</f>
        <v>0</v>
      </c>
      <c r="X68" s="122"/>
      <c r="Y68" s="122">
        <f ca="1">SUM(Y66:Y66)</f>
        <v>0</v>
      </c>
      <c r="Z68" s="122"/>
      <c r="AA68" s="122">
        <f ca="1">SUM(AA66:AA66)</f>
        <v>0</v>
      </c>
      <c r="AB68" s="122"/>
      <c r="AC68" s="122">
        <f ca="1">SUM(AC66:AC66)</f>
        <v>0</v>
      </c>
      <c r="AD68" s="122"/>
      <c r="AE68" s="122">
        <f ca="1">SUM(AE66:AE66)</f>
        <v>0</v>
      </c>
      <c r="AF68" s="93"/>
      <c r="AG68" s="104"/>
      <c r="AH68" s="120"/>
    </row>
    <row r="69" spans="1:34" outlineLevel="1" thickBot="1" x14ac:dyDescent="0.3">
      <c r="A69" s="193" t="s">
        <v>149</v>
      </c>
      <c r="B69" s="151"/>
      <c r="C69" s="151"/>
      <c r="D69" s="150"/>
      <c r="E69" s="149"/>
      <c r="F69" s="148"/>
      <c r="G69" s="147"/>
      <c r="H69" s="147"/>
      <c r="I69" s="146"/>
      <c r="J69" s="146"/>
      <c r="K69" s="146"/>
      <c r="L69" s="145"/>
      <c r="M69" s="144"/>
      <c r="N69" s="144"/>
      <c r="O69" s="144"/>
      <c r="P69" s="144"/>
      <c r="Q69" s="144"/>
      <c r="R69" s="144"/>
      <c r="S69" s="144"/>
      <c r="T69" s="144"/>
      <c r="U69" s="144"/>
      <c r="V69" s="143"/>
      <c r="W69" s="215"/>
      <c r="X69" s="215"/>
      <c r="Y69" s="215"/>
      <c r="Z69" s="215"/>
      <c r="AA69" s="215"/>
      <c r="AB69" s="215"/>
      <c r="AC69" s="215"/>
      <c r="AD69" s="215"/>
      <c r="AE69" s="191"/>
      <c r="AH69" s="120"/>
    </row>
    <row r="70" spans="1:34" ht="28.2" outlineLevel="1" thickBot="1" x14ac:dyDescent="0.3">
      <c r="A70" s="139" t="s">
        <v>33</v>
      </c>
      <c r="B70" s="138" t="s">
        <v>98</v>
      </c>
      <c r="C70" s="138" t="s">
        <v>100</v>
      </c>
      <c r="D70" s="137">
        <v>1E-3</v>
      </c>
      <c r="E70" s="136">
        <v>2.5000000000000001E-3</v>
      </c>
      <c r="F70" s="135">
        <v>1.754</v>
      </c>
      <c r="G70" s="134">
        <f>D70/F70</f>
        <v>5.7012542759407071E-4</v>
      </c>
      <c r="H70" s="134">
        <f>G70*E70/D70</f>
        <v>1.4253135689851768E-3</v>
      </c>
      <c r="I70" s="133" t="s">
        <v>96</v>
      </c>
      <c r="J70" s="131">
        <f>ROUND(G70*1000000,0)</f>
        <v>570</v>
      </c>
      <c r="K70" s="131">
        <f>ROUND(H70*1000000,-1)</f>
        <v>1430</v>
      </c>
      <c r="L70" s="132">
        <f ca="1">INDIRECT("für_Einstufung!A"&amp;M70)</f>
        <v>0</v>
      </c>
      <c r="M70" s="164">
        <v>70</v>
      </c>
      <c r="N70" s="130">
        <f ca="1">IF(OR(ISNUMBER(INDIRECT("für_Einstufung!"&amp;AH$1&amp;$AG70)),INDIRECT("für_Einstufung!"&amp;AH$1&amp;$AG70)="n.b."),INDIRECT("für_Einstufung!"&amp;AH$1&amp;$AG70),MID(INDIRECT("für_Einstufung!"&amp;AH$1&amp;$AG70),2,20)*1)</f>
        <v>108</v>
      </c>
      <c r="O70" s="131"/>
      <c r="P70" s="131">
        <f ca="1">IF(OR(ISNUMBER(INDIRECT("für_Einstufung!"&amp;AJ$1&amp;$AG70)),INDIRECT("für_Einstufung!"&amp;AJ$1&amp;$AG70)="n.b."),INDIRECT("für_Einstufung!"&amp;AJ$1&amp;$AG70),MID(INDIRECT("für_Einstufung!"&amp;AJ$1&amp;$AG70),2,20)*1)</f>
        <v>111</v>
      </c>
      <c r="Q70" s="131"/>
      <c r="R70" s="131">
        <f ca="1">IF(OR(ISNUMBER(INDIRECT("für_Einstufung!"&amp;AL$1&amp;$AG70)),INDIRECT("für_Einstufung!"&amp;AL$1&amp;$AG70)="n.b."),INDIRECT("für_Einstufung!"&amp;AL$1&amp;$AG70),MID(INDIRECT("für_Einstufung!"&amp;AL$1&amp;$AG70),2,20)*1)</f>
        <v>111</v>
      </c>
      <c r="S70" s="131"/>
      <c r="T70" s="131">
        <f ca="1">IF(OR(ISNUMBER(INDIRECT("für_Einstufung!"&amp;AN$1&amp;$AG70)),INDIRECT("für_Einstufung!"&amp;AN$1&amp;$AG70)="n.b."),INDIRECT("für_Einstufung!"&amp;AN$1&amp;$AG70),MID(INDIRECT("für_Einstufung!"&amp;AN$1&amp;$AG70),2,20)*1)</f>
        <v>111</v>
      </c>
      <c r="U70" s="131"/>
      <c r="V70" s="157">
        <f ca="1">IF(OR(ISNUMBER(INDIRECT("für_Einstufung!"&amp;AP$1&amp;$AG70)),INDIRECT("für_Einstufung!"&amp;AP$1&amp;$AG70)="n.b."),INDIRECT("für_Einstufung!"&amp;AP$1&amp;$AG70),MID(INDIRECT("für_Einstufung!"&amp;AP$1&amp;$AG70),2,20)*1)</f>
        <v>107</v>
      </c>
      <c r="W70" s="191" t="str">
        <f ca="1">IF(N70="n.b.","n.b.",IF(N70*0.000001&lt;$G70,"&lt; Bgr.",N70*0.000001/$H70))</f>
        <v>&lt; Bgr.</v>
      </c>
      <c r="X70" s="129"/>
      <c r="Y70" s="129" t="str">
        <f ca="1">IF(P70="n.b.","n.b.",IF(P70*0.000001&lt;$G70,"&lt; Bgr.",P70*0.000001/$H70))</f>
        <v>&lt; Bgr.</v>
      </c>
      <c r="Z70" s="129"/>
      <c r="AA70" s="129" t="str">
        <f ca="1">IF(R70="n.b.","n.b.",IF(R70*0.000001&lt;$G70,"&lt; Bgr.",R70*0.000001/$H70))</f>
        <v>&lt; Bgr.</v>
      </c>
      <c r="AB70" s="129"/>
      <c r="AC70" s="129" t="str">
        <f ca="1">IF(T70="n.b.","n.b.",IF(T70*0.000001&lt;$G70,"&lt; Bgr.",T70*0.000001/$H70))</f>
        <v>&lt; Bgr.</v>
      </c>
      <c r="AD70" s="129"/>
      <c r="AE70" s="129" t="str">
        <f ca="1">IF(V70="n.b.","n.b.",IF(V70*0.000001&lt;$G70,"&lt; Bgr.",V70*0.000001/$H70))</f>
        <v>&lt; Bgr.</v>
      </c>
      <c r="AG70" s="104">
        <v>79</v>
      </c>
      <c r="AH70" s="120" t="str">
        <f ca="1">INDIRECT("für_Einstufung!ai$"&amp;AG70)</f>
        <v>Cu_Stoffgr. 2</v>
      </c>
    </row>
    <row r="71" spans="1:34" ht="28.2" outlineLevel="1" thickBot="1" x14ac:dyDescent="0.3">
      <c r="A71" s="139" t="s">
        <v>32</v>
      </c>
      <c r="B71" s="138" t="s">
        <v>98</v>
      </c>
      <c r="C71" s="138" t="s">
        <v>99</v>
      </c>
      <c r="D71" s="137">
        <v>1E-3</v>
      </c>
      <c r="E71" s="136">
        <v>2.5000000000000001E-3</v>
      </c>
      <c r="F71" s="135">
        <v>2.0219999999999998</v>
      </c>
      <c r="G71" s="134">
        <f>D71/F71</f>
        <v>4.9455984174085073E-4</v>
      </c>
      <c r="H71" s="134">
        <f>G71*E71/D71</f>
        <v>1.2363996043521267E-3</v>
      </c>
      <c r="I71" s="133" t="s">
        <v>96</v>
      </c>
      <c r="J71" s="131">
        <f>ROUND(G71*1000000,0)</f>
        <v>495</v>
      </c>
      <c r="K71" s="131">
        <f>ROUND(H71*1000000,-1)</f>
        <v>1240</v>
      </c>
      <c r="L71" s="132">
        <f ca="1">INDIRECT("für_Einstufung!A"&amp;M71)</f>
        <v>0</v>
      </c>
      <c r="M71" s="164">
        <v>72</v>
      </c>
      <c r="N71" s="130">
        <f ca="1">IF(OR(ISNUMBER(INDIRECT("für_Einstufung!"&amp;AH$1&amp;$AG71)),INDIRECT("für_Einstufung!"&amp;AH$1&amp;$AG71)="n.b."),INDIRECT("für_Einstufung!"&amp;AH$1&amp;$AG71),MID(INDIRECT("für_Einstufung!"&amp;AH$1&amp;$AG71),2,20)*1)</f>
        <v>262</v>
      </c>
      <c r="O71" s="131"/>
      <c r="P71" s="131">
        <f ca="1">IF(OR(ISNUMBER(INDIRECT("für_Einstufung!"&amp;AJ$1&amp;$AG71)),INDIRECT("für_Einstufung!"&amp;AJ$1&amp;$AG71)="n.b."),INDIRECT("für_Einstufung!"&amp;AJ$1&amp;$AG71),MID(INDIRECT("für_Einstufung!"&amp;AJ$1&amp;$AG71),2,20)*1)</f>
        <v>255</v>
      </c>
      <c r="Q71" s="131"/>
      <c r="R71" s="131">
        <f ca="1">IF(OR(ISNUMBER(INDIRECT("für_Einstufung!"&amp;AL$1&amp;$AG71)),INDIRECT("für_Einstufung!"&amp;AL$1&amp;$AG71)="n.b."),INDIRECT("für_Einstufung!"&amp;AL$1&amp;$AG71),MID(INDIRECT("für_Einstufung!"&amp;AL$1&amp;$AG71),2,20)*1)</f>
        <v>259</v>
      </c>
      <c r="S71" s="131"/>
      <c r="T71" s="131">
        <f ca="1">IF(OR(ISNUMBER(INDIRECT("für_Einstufung!"&amp;AN$1&amp;$AG71)),INDIRECT("für_Einstufung!"&amp;AN$1&amp;$AG71)="n.b."),INDIRECT("für_Einstufung!"&amp;AN$1&amp;$AG71),MID(INDIRECT("für_Einstufung!"&amp;AN$1&amp;$AG71),2,20)*1)</f>
        <v>259</v>
      </c>
      <c r="U71" s="131"/>
      <c r="V71" s="157">
        <f ca="1">IF(OR(ISNUMBER(INDIRECT("für_Einstufung!"&amp;AP$1&amp;$AG71)),INDIRECT("für_Einstufung!"&amp;AP$1&amp;$AG71)="n.b."),INDIRECT("für_Einstufung!"&amp;AP$1&amp;$AG71),MID(INDIRECT("für_Einstufung!"&amp;AP$1&amp;$AG71),2,20)*1)</f>
        <v>259</v>
      </c>
      <c r="W71" s="191" t="str">
        <f ca="1">IF(N71="n.b.","n.b.",IF(N71*0.000001&lt;$G71,"&lt; Bgr.",N71*0.000001/$H71))</f>
        <v>&lt; Bgr.</v>
      </c>
      <c r="X71" s="129"/>
      <c r="Y71" s="129" t="str">
        <f ca="1">IF(P71="n.b.","n.b.",IF(P71*0.000001&lt;$G71,"&lt; Bgr.",P71*0.000001/$H71))</f>
        <v>&lt; Bgr.</v>
      </c>
      <c r="Z71" s="129"/>
      <c r="AA71" s="129" t="str">
        <f ca="1">IF(R71="n.b.","n.b.",IF(R71*0.000001&lt;$G71,"&lt; Bgr.",R71*0.000001/$H71))</f>
        <v>&lt; Bgr.</v>
      </c>
      <c r="AB71" s="129"/>
      <c r="AC71" s="129" t="str">
        <f ca="1">IF(T71="n.b.","n.b.",IF(T71*0.000001&lt;$G71,"&lt; Bgr.",T71*0.000001/$H71))</f>
        <v>&lt; Bgr.</v>
      </c>
      <c r="AD71" s="129"/>
      <c r="AE71" s="129" t="str">
        <f ca="1">IF(V71="n.b.","n.b.",IF(V71*0.000001&lt;$G71,"&lt; Bgr.",V71*0.000001/$H71))</f>
        <v>&lt; Bgr.</v>
      </c>
      <c r="AG71" s="104">
        <v>80</v>
      </c>
      <c r="AH71" s="120" t="str">
        <f ca="1">INDIRECT("für_Einstufung!ai$"&amp;AG71)</f>
        <v>Ni_Stoffgr. 2</v>
      </c>
    </row>
    <row r="72" spans="1:34" ht="28.2" outlineLevel="1" thickBot="1" x14ac:dyDescent="0.3">
      <c r="A72" s="139" t="s">
        <v>31</v>
      </c>
      <c r="B72" s="138" t="s">
        <v>98</v>
      </c>
      <c r="C72" s="138" t="s">
        <v>31</v>
      </c>
      <c r="D72" s="137">
        <v>1E-3</v>
      </c>
      <c r="E72" s="136">
        <v>2.5000000000000001E-3</v>
      </c>
      <c r="F72" s="135">
        <v>1</v>
      </c>
      <c r="G72" s="134">
        <f>D72/F72</f>
        <v>1E-3</v>
      </c>
      <c r="H72" s="134">
        <f>G72*E72/D72</f>
        <v>2.5000000000000001E-3</v>
      </c>
      <c r="I72" s="133" t="s">
        <v>96</v>
      </c>
      <c r="J72" s="131">
        <f>ROUND(G72*1000000,-1)</f>
        <v>1000</v>
      </c>
      <c r="K72" s="131">
        <f>ROUND(H72*1000000,-1)</f>
        <v>2500</v>
      </c>
      <c r="L72" s="132">
        <f ca="1">INDIRECT("für_Einstufung!A"&amp;M72)</f>
        <v>0</v>
      </c>
      <c r="M72" s="164">
        <v>73</v>
      </c>
      <c r="N72" s="130">
        <f ca="1">IF(OR(ISNUMBER(INDIRECT("für_Einstufung!"&amp;AH$1&amp;$AG72)),INDIRECT("für_Einstufung!"&amp;AH$1&amp;$AG72)="n.b."),INDIRECT("für_Einstufung!"&amp;AH$1&amp;$AG72),MID(INDIRECT("für_Einstufung!"&amp;AH$1&amp;$AG72),2,20)*1)</f>
        <v>452</v>
      </c>
      <c r="O72" s="131"/>
      <c r="P72" s="131">
        <f ca="1">IF(OR(ISNUMBER(INDIRECT("für_Einstufung!"&amp;AJ$1&amp;$AG72)),INDIRECT("für_Einstufung!"&amp;AJ$1&amp;$AG72)="n.b."),INDIRECT("für_Einstufung!"&amp;AJ$1&amp;$AG72),MID(INDIRECT("für_Einstufung!"&amp;AJ$1&amp;$AG72),2,20)*1)</f>
        <v>448</v>
      </c>
      <c r="Q72" s="131"/>
      <c r="R72" s="131">
        <f ca="1">IF(OR(ISNUMBER(INDIRECT("für_Einstufung!"&amp;AL$1&amp;$AG72)),INDIRECT("für_Einstufung!"&amp;AL$1&amp;$AG72)="n.b."),INDIRECT("für_Einstufung!"&amp;AL$1&amp;$AG72),MID(INDIRECT("für_Einstufung!"&amp;AL$1&amp;$AG72),2,20)*1)</f>
        <v>444</v>
      </c>
      <c r="S72" s="131"/>
      <c r="T72" s="131">
        <f ca="1">IF(OR(ISNUMBER(INDIRECT("für_Einstufung!"&amp;AN$1&amp;$AG72)),INDIRECT("für_Einstufung!"&amp;AN$1&amp;$AG72)="n.b."),INDIRECT("für_Einstufung!"&amp;AN$1&amp;$AG72),MID(INDIRECT("für_Einstufung!"&amp;AN$1&amp;$AG72),2,20)*1)</f>
        <v>448</v>
      </c>
      <c r="U72" s="131"/>
      <c r="V72" s="157">
        <f ca="1">IF(OR(ISNUMBER(INDIRECT("für_Einstufung!"&amp;AP$1&amp;$AG72)),INDIRECT("für_Einstufung!"&amp;AP$1&amp;$AG72)="n.b."),INDIRECT("für_Einstufung!"&amp;AP$1&amp;$AG72),MID(INDIRECT("für_Einstufung!"&amp;AP$1&amp;$AG72),2,20)*1)</f>
        <v>448</v>
      </c>
      <c r="W72" s="191" t="str">
        <f ca="1">IF(N72="n.b.","n.b.",IF(N72*0.000001&lt;$G72,"&lt; Bgr.",N72*0.000001/$H72))</f>
        <v>&lt; Bgr.</v>
      </c>
      <c r="X72" s="129"/>
      <c r="Y72" s="129" t="str">
        <f ca="1">IF(P72="n.b.","n.b.",IF(P72*0.000001&lt;$G72,"&lt; Bgr.",P72*0.000001/$H72))</f>
        <v>&lt; Bgr.</v>
      </c>
      <c r="Z72" s="129"/>
      <c r="AA72" s="129" t="str">
        <f ca="1">IF(R72="n.b.","n.b.",IF(R72*0.000001&lt;$G72,"&lt; Bgr.",R72*0.000001/$H72))</f>
        <v>&lt; Bgr.</v>
      </c>
      <c r="AB72" s="129"/>
      <c r="AC72" s="129" t="str">
        <f ca="1">IF(T72="n.b.","n.b.",IF(T72*0.000001&lt;$G72,"&lt; Bgr.",T72*0.000001/$H72))</f>
        <v>&lt; Bgr.</v>
      </c>
      <c r="AD72" s="129"/>
      <c r="AE72" s="129" t="str">
        <f ca="1">IF(V72="n.b.","n.b.",IF(V72*0.000001&lt;$G72,"&lt; Bgr.",V72*0.000001/$H72))</f>
        <v>&lt; Bgr.</v>
      </c>
      <c r="AG72" s="104">
        <v>81</v>
      </c>
      <c r="AH72" s="120" t="str">
        <f ca="1">INDIRECT("für_Einstufung!ai$"&amp;AG72)</f>
        <v>Pb_Stoffgr. 2</v>
      </c>
    </row>
    <row r="73" spans="1:34" ht="28.2" outlineLevel="1" thickBot="1" x14ac:dyDescent="0.3">
      <c r="A73" s="139" t="s">
        <v>30</v>
      </c>
      <c r="B73" s="138" t="s">
        <v>98</v>
      </c>
      <c r="C73" s="138" t="s">
        <v>97</v>
      </c>
      <c r="D73" s="137">
        <v>1E-3</v>
      </c>
      <c r="E73" s="136">
        <v>2.5000000000000001E-3</v>
      </c>
      <c r="F73" s="135">
        <v>1.2450000000000001</v>
      </c>
      <c r="G73" s="134">
        <f>D73/F73</f>
        <v>8.0321285140562242E-4</v>
      </c>
      <c r="H73" s="134">
        <f>G73*E73/D73</f>
        <v>2.008032128514056E-3</v>
      </c>
      <c r="I73" s="133" t="s">
        <v>96</v>
      </c>
      <c r="J73" s="131">
        <f>ROUND(G73*1000000,0)</f>
        <v>803</v>
      </c>
      <c r="K73" s="131">
        <f>ROUND(H73*1000000,-1)</f>
        <v>2010</v>
      </c>
      <c r="L73" s="132">
        <f ca="1">INDIRECT("für_Einstufung!A"&amp;M73)</f>
        <v>0</v>
      </c>
      <c r="M73" s="164">
        <v>71</v>
      </c>
      <c r="N73" s="130">
        <f ca="1">IF(OR(ISNUMBER(INDIRECT("für_Einstufung!"&amp;AH$1&amp;$AG73)),INDIRECT("für_Einstufung!"&amp;AH$1&amp;$AG73)="n.b."),INDIRECT("für_Einstufung!"&amp;AH$1&amp;$AG73),MID(INDIRECT("für_Einstufung!"&amp;AH$1&amp;$AG73),2,20)*1)</f>
        <v>557</v>
      </c>
      <c r="O73" s="131"/>
      <c r="P73" s="131">
        <f ca="1">IF(OR(ISNUMBER(INDIRECT("für_Einstufung!"&amp;AJ$1&amp;$AG73)),INDIRECT("für_Einstufung!"&amp;AJ$1&amp;$AG73)="n.b."),INDIRECT("für_Einstufung!"&amp;AJ$1&amp;$AG73),MID(INDIRECT("für_Einstufung!"&amp;AJ$1&amp;$AG73),2,20)*1)</f>
        <v>551</v>
      </c>
      <c r="Q73" s="131"/>
      <c r="R73" s="131">
        <f ca="1">IF(OR(ISNUMBER(INDIRECT("für_Einstufung!"&amp;AL$1&amp;$AG73)),INDIRECT("für_Einstufung!"&amp;AL$1&amp;$AG73)="n.b."),INDIRECT("für_Einstufung!"&amp;AL$1&amp;$AG73),MID(INDIRECT("für_Einstufung!"&amp;AL$1&amp;$AG73),2,20)*1)</f>
        <v>551</v>
      </c>
      <c r="S73" s="131"/>
      <c r="T73" s="131">
        <f ca="1">IF(OR(ISNUMBER(INDIRECT("für_Einstufung!"&amp;AN$1&amp;$AG73)),INDIRECT("für_Einstufung!"&amp;AN$1&amp;$AG73)="n.b."),INDIRECT("für_Einstufung!"&amp;AN$1&amp;$AG73),MID(INDIRECT("für_Einstufung!"&amp;AN$1&amp;$AG73),2,20)*1)</f>
        <v>547</v>
      </c>
      <c r="U73" s="131"/>
      <c r="V73" s="157">
        <f ca="1">IF(OR(ISNUMBER(INDIRECT("für_Einstufung!"&amp;AP$1&amp;$AG73)),INDIRECT("für_Einstufung!"&amp;AP$1&amp;$AG73)="n.b."),INDIRECT("für_Einstufung!"&amp;AP$1&amp;$AG73),MID(INDIRECT("für_Einstufung!"&amp;AP$1&amp;$AG73),2,20)*1)</f>
        <v>551</v>
      </c>
      <c r="W73" s="191" t="str">
        <f ca="1">IF(N73="n.b.","n.b.",IF(N73*0.000001&lt;$G73,"&lt; Bgr.",N73*0.000001/$H73))</f>
        <v>&lt; Bgr.</v>
      </c>
      <c r="X73" s="129"/>
      <c r="Y73" s="129" t="str">
        <f ca="1">IF(P73="n.b.","n.b.",IF(P73*0.000001&lt;$G73,"&lt; Bgr.",P73*0.000001/$H73))</f>
        <v>&lt; Bgr.</v>
      </c>
      <c r="Z73" s="129"/>
      <c r="AA73" s="129" t="str">
        <f ca="1">IF(R73="n.b.","n.b.",IF(R73*0.000001&lt;$G73,"&lt; Bgr.",R73*0.000001/$H73))</f>
        <v>&lt; Bgr.</v>
      </c>
      <c r="AB73" s="129"/>
      <c r="AC73" s="129" t="str">
        <f ca="1">IF(T73="n.b.","n.b.",IF(T73*0.000001&lt;$G73,"&lt; Bgr.",T73*0.000001/$H73))</f>
        <v>&lt; Bgr.</v>
      </c>
      <c r="AD73" s="129"/>
      <c r="AE73" s="129" t="str">
        <f ca="1">IF(V73="n.b.","n.b.",IF(V73*0.000001&lt;$G73,"&lt; Bgr.",V73*0.000001/$H73))</f>
        <v>&lt; Bgr.</v>
      </c>
      <c r="AG73" s="104">
        <v>82</v>
      </c>
      <c r="AH73" s="120" t="str">
        <f ca="1">INDIRECT("für_Einstufung!ai$"&amp;AG73)</f>
        <v>Zn_Stoffgr. 2</v>
      </c>
    </row>
    <row r="74" spans="1:34" s="121" customFormat="1" outlineLevel="1" thickBot="1" x14ac:dyDescent="0.35">
      <c r="A74" s="155" t="s">
        <v>95</v>
      </c>
      <c r="B74" s="153"/>
      <c r="G74" s="154"/>
      <c r="H74" s="154"/>
      <c r="L74" s="153"/>
      <c r="V74" s="124"/>
      <c r="W74" s="123">
        <f ca="1">SUM(W70:W73)</f>
        <v>0</v>
      </c>
      <c r="X74" s="122"/>
      <c r="Y74" s="122">
        <f ca="1">SUM(Y70:Y73)</f>
        <v>0</v>
      </c>
      <c r="Z74" s="122"/>
      <c r="AA74" s="122">
        <f ca="1">SUM(AA70:AA73)</f>
        <v>0</v>
      </c>
      <c r="AB74" s="122"/>
      <c r="AC74" s="122">
        <f ca="1">SUM(AC70:AC73)</f>
        <v>0</v>
      </c>
      <c r="AD74" s="122"/>
      <c r="AE74" s="122">
        <f ca="1">SUM(AE70:AE73)</f>
        <v>0</v>
      </c>
      <c r="AF74" s="93"/>
      <c r="AG74" s="104"/>
      <c r="AH74" s="184"/>
    </row>
    <row r="75" spans="1:34" outlineLevel="1" thickBot="1" x14ac:dyDescent="0.3">
      <c r="A75" s="193" t="s">
        <v>148</v>
      </c>
      <c r="B75" s="151"/>
      <c r="C75" s="151"/>
      <c r="D75" s="150"/>
      <c r="E75" s="149"/>
      <c r="F75" s="148"/>
      <c r="G75" s="147"/>
      <c r="H75" s="147"/>
      <c r="I75" s="146"/>
      <c r="J75" s="146"/>
      <c r="K75" s="146"/>
      <c r="L75" s="145"/>
      <c r="M75" s="144"/>
      <c r="N75" s="144"/>
      <c r="O75" s="144"/>
      <c r="P75" s="144"/>
      <c r="Q75" s="144"/>
      <c r="R75" s="144"/>
      <c r="S75" s="144"/>
      <c r="T75" s="144"/>
      <c r="U75" s="144"/>
      <c r="V75" s="143"/>
      <c r="W75" s="215"/>
      <c r="X75" s="215"/>
      <c r="Y75" s="215"/>
      <c r="Z75" s="215"/>
      <c r="AA75" s="215"/>
      <c r="AB75" s="215"/>
      <c r="AC75" s="215"/>
      <c r="AD75" s="215"/>
      <c r="AE75" s="191"/>
    </row>
    <row r="76" spans="1:34" ht="28.2" outlineLevel="1" thickBot="1" x14ac:dyDescent="0.3">
      <c r="A76" s="214" t="s">
        <v>33</v>
      </c>
      <c r="B76" s="138" t="s">
        <v>131</v>
      </c>
      <c r="C76" s="138" t="s">
        <v>133</v>
      </c>
      <c r="D76" s="137">
        <v>1E-3</v>
      </c>
      <c r="E76" s="136">
        <v>2.5000000000000001E-3</v>
      </c>
      <c r="F76" s="135">
        <v>2.512</v>
      </c>
      <c r="G76" s="134">
        <f>D76/F76</f>
        <v>3.9808917197452231E-4</v>
      </c>
      <c r="H76" s="134">
        <f>G76*E76/D76</f>
        <v>9.9522292993630573E-4</v>
      </c>
      <c r="I76" s="133" t="s">
        <v>96</v>
      </c>
      <c r="J76" s="131">
        <f>ROUND(G76*1000000,0)</f>
        <v>398</v>
      </c>
      <c r="K76" s="131">
        <f>ROUND(H76*1000000,-1)</f>
        <v>1000</v>
      </c>
      <c r="L76" s="132">
        <f ca="1">INDIRECT("für_Einstufung!A"&amp;M76)</f>
        <v>0</v>
      </c>
      <c r="M76" s="164">
        <v>75</v>
      </c>
      <c r="N76" s="189">
        <f ca="1">IF(OR(ISNUMBER(INDIRECT("für_Einstufung!"&amp;AH$1&amp;$AG76)),INDIRECT("für_Einstufung!"&amp;AH$1&amp;$AG76)="n.b."),INDIRECT("für_Einstufung!"&amp;AH$1&amp;$AG76),MID(INDIRECT("für_Einstufung!"&amp;AH$1&amp;$AG76),2,20)*1)</f>
        <v>14.5</v>
      </c>
      <c r="O76" s="188"/>
      <c r="P76" s="188">
        <f ca="1">IF(OR(ISNUMBER(INDIRECT("für_Einstufung!"&amp;AJ$1&amp;$AG76)),INDIRECT("für_Einstufung!"&amp;AJ$1&amp;$AG76)="n.b."),INDIRECT("für_Einstufung!"&amp;AJ$1&amp;$AG76),MID(INDIRECT("für_Einstufung!"&amp;AJ$1&amp;$AG76),2,20)*1)</f>
        <v>10</v>
      </c>
      <c r="Q76" s="188"/>
      <c r="R76" s="188">
        <f ca="1">IF(OR(ISNUMBER(INDIRECT("für_Einstufung!"&amp;AL$1&amp;$AG76)),INDIRECT("für_Einstufung!"&amp;AL$1&amp;$AG76)="n.b."),INDIRECT("für_Einstufung!"&amp;AL$1&amp;$AG76),MID(INDIRECT("für_Einstufung!"&amp;AL$1&amp;$AG76),2,20)*1)</f>
        <v>10</v>
      </c>
      <c r="S76" s="188"/>
      <c r="T76" s="188">
        <f ca="1">IF(OR(ISNUMBER(INDIRECT("für_Einstufung!"&amp;AN$1&amp;$AG76)),INDIRECT("für_Einstufung!"&amp;AN$1&amp;$AG76)="n.b."),INDIRECT("für_Einstufung!"&amp;AN$1&amp;$AG76),MID(INDIRECT("für_Einstufung!"&amp;AN$1&amp;$AG76),2,20)*1)</f>
        <v>10</v>
      </c>
      <c r="U76" s="188"/>
      <c r="V76" s="187">
        <f ca="1">IF(OR(ISNUMBER(INDIRECT("für_Einstufung!"&amp;AP$1&amp;$AG76)),INDIRECT("für_Einstufung!"&amp;AP$1&amp;$AG76)="n.b."),INDIRECT("für_Einstufung!"&amp;AP$1&amp;$AG76),MID(INDIRECT("für_Einstufung!"&amp;AP$1&amp;$AG76),2,20)*1)</f>
        <v>14.5</v>
      </c>
      <c r="W76" s="191" t="str">
        <f ca="1">IF(N76="n.b.","n.b.",IF(N76*0.000001&lt;$G76,"&lt; Bgr.",N76*0.000001/$H76))</f>
        <v>&lt; Bgr.</v>
      </c>
      <c r="X76" s="129"/>
      <c r="Y76" s="129" t="str">
        <f ca="1">IF(P76="n.b.","n.b.",IF(P76*0.000001&lt;$G76,"&lt; Bgr.",P76*0.000001/$H76))</f>
        <v>&lt; Bgr.</v>
      </c>
      <c r="Z76" s="129"/>
      <c r="AA76" s="129" t="str">
        <f ca="1">IF(R76="n.b.","n.b.",IF(R76*0.000001&lt;$G76,"&lt; Bgr.",R76*0.000001/$H76))</f>
        <v>&lt; Bgr.</v>
      </c>
      <c r="AB76" s="129"/>
      <c r="AC76" s="129" t="str">
        <f ca="1">IF(T76="n.b.","n.b.",IF(T76*0.000001&lt;$G76,"&lt; Bgr.",T76*0.000001/$H76))</f>
        <v>&lt; Bgr.</v>
      </c>
      <c r="AD76" s="129"/>
      <c r="AE76" s="129" t="str">
        <f ca="1">IF(V76="n.b.","n.b.",IF(V76*0.000001&lt;$G76,"&lt; Bgr.",V76*0.000001/$H76))</f>
        <v>&lt; Bgr.</v>
      </c>
      <c r="AG76" s="104">
        <v>84</v>
      </c>
      <c r="AH76" s="120" t="str">
        <f ca="1">INDIRECT("für_Einstufung!ai$"&amp;AG76)</f>
        <v>Cu_Stoffgr. 3</v>
      </c>
    </row>
    <row r="77" spans="1:34" ht="28.2" outlineLevel="1" thickBot="1" x14ac:dyDescent="0.3">
      <c r="A77" s="214" t="s">
        <v>32</v>
      </c>
      <c r="B77" s="138" t="s">
        <v>131</v>
      </c>
      <c r="C77" s="138" t="s">
        <v>132</v>
      </c>
      <c r="D77" s="137">
        <v>1E-3</v>
      </c>
      <c r="E77" s="136">
        <v>2.5000000000000001E-3</v>
      </c>
      <c r="F77" s="135">
        <v>2.6360000000000001</v>
      </c>
      <c r="G77" s="134">
        <f>D77/F77</f>
        <v>3.7936267071320183E-4</v>
      </c>
      <c r="H77" s="134">
        <f>G77*E77/D77</f>
        <v>9.4840667678300458E-4</v>
      </c>
      <c r="I77" s="133" t="s">
        <v>96</v>
      </c>
      <c r="J77" s="131">
        <f>ROUND(G77*1000000,0)</f>
        <v>379</v>
      </c>
      <c r="K77" s="131">
        <f>ROUND(H77*1000000,0)</f>
        <v>948</v>
      </c>
      <c r="L77" s="132">
        <f ca="1">INDIRECT("für_Einstufung!A"&amp;M77)</f>
        <v>0</v>
      </c>
      <c r="M77" s="164">
        <v>77</v>
      </c>
      <c r="N77" s="189">
        <f ca="1">IF(OR(ISNUMBER(INDIRECT("für_Einstufung!"&amp;AH$1&amp;$AG77)),INDIRECT("für_Einstufung!"&amp;AH$1&amp;$AG77)="n.b."),INDIRECT("für_Einstufung!"&amp;AH$1&amp;$AG77),MID(INDIRECT("für_Einstufung!"&amp;AH$1&amp;$AG77),2,20)*1)</f>
        <v>10</v>
      </c>
      <c r="O77" s="188"/>
      <c r="P77" s="188">
        <f ca="1">IF(OR(ISNUMBER(INDIRECT("für_Einstufung!"&amp;AJ$1&amp;$AG77)),INDIRECT("für_Einstufung!"&amp;AJ$1&amp;$AG77)="n.b."),INDIRECT("für_Einstufung!"&amp;AJ$1&amp;$AG77),MID(INDIRECT("für_Einstufung!"&amp;AJ$1&amp;$AG77),2,20)*1)</f>
        <v>14.5</v>
      </c>
      <c r="Q77" s="188"/>
      <c r="R77" s="188">
        <f ca="1">IF(OR(ISNUMBER(INDIRECT("für_Einstufung!"&amp;AL$1&amp;$AG77)),INDIRECT("für_Einstufung!"&amp;AL$1&amp;$AG77)="n.b."),INDIRECT("für_Einstufung!"&amp;AL$1&amp;$AG77),MID(INDIRECT("für_Einstufung!"&amp;AL$1&amp;$AG77),2,20)*1)</f>
        <v>10</v>
      </c>
      <c r="S77" s="188"/>
      <c r="T77" s="188">
        <f ca="1">IF(OR(ISNUMBER(INDIRECT("für_Einstufung!"&amp;AN$1&amp;$AG77)),INDIRECT("für_Einstufung!"&amp;AN$1&amp;$AG77)="n.b."),INDIRECT("für_Einstufung!"&amp;AN$1&amp;$AG77),MID(INDIRECT("für_Einstufung!"&amp;AN$1&amp;$AG77),2,20)*1)</f>
        <v>10</v>
      </c>
      <c r="U77" s="188"/>
      <c r="V77" s="187">
        <f ca="1">IF(OR(ISNUMBER(INDIRECT("für_Einstufung!"&amp;AP$1&amp;$AG77)),INDIRECT("für_Einstufung!"&amp;AP$1&amp;$AG77)="n.b."),INDIRECT("für_Einstufung!"&amp;AP$1&amp;$AG77),MID(INDIRECT("für_Einstufung!"&amp;AP$1&amp;$AG77),2,20)*1)</f>
        <v>10</v>
      </c>
      <c r="W77" s="191" t="str">
        <f ca="1">IF(N77="n.b.","n.b.",IF(N77*0.000001&lt;$G77,"&lt; Bgr.",N77*0.000001/$H77))</f>
        <v>&lt; Bgr.</v>
      </c>
      <c r="X77" s="129"/>
      <c r="Y77" s="129" t="str">
        <f ca="1">IF(P77="n.b.","n.b.",IF(P77*0.000001&lt;$G77,"&lt; Bgr.",P77*0.000001/$H77))</f>
        <v>&lt; Bgr.</v>
      </c>
      <c r="Z77" s="129"/>
      <c r="AA77" s="129" t="str">
        <f ca="1">IF(R77="n.b.","n.b.",IF(R77*0.000001&lt;$G77,"&lt; Bgr.",R77*0.000001/$H77))</f>
        <v>&lt; Bgr.</v>
      </c>
      <c r="AB77" s="129"/>
      <c r="AC77" s="129" t="str">
        <f ca="1">IF(T77="n.b.","n.b.",IF(T77*0.000001&lt;$G77,"&lt; Bgr.",T77*0.000001/$H77))</f>
        <v>&lt; Bgr.</v>
      </c>
      <c r="AD77" s="129"/>
      <c r="AE77" s="129" t="str">
        <f ca="1">IF(V77="n.b.","n.b.",IF(V77*0.000001&lt;$G77,"&lt; Bgr.",V77*0.000001/$H77))</f>
        <v>&lt; Bgr.</v>
      </c>
      <c r="AG77" s="104">
        <v>85</v>
      </c>
      <c r="AH77" s="120" t="str">
        <f ca="1">INDIRECT("für_Einstufung!ai$"&amp;AG77)</f>
        <v>Ni_Stoffgr. 3</v>
      </c>
    </row>
    <row r="78" spans="1:34" ht="28.2" outlineLevel="1" thickBot="1" x14ac:dyDescent="0.3">
      <c r="A78" s="214" t="s">
        <v>31</v>
      </c>
      <c r="B78" s="138" t="s">
        <v>131</v>
      </c>
      <c r="C78" s="138" t="s">
        <v>31</v>
      </c>
      <c r="D78" s="137">
        <v>1E-3</v>
      </c>
      <c r="E78" s="136">
        <v>2.5000000000000001E-3</v>
      </c>
      <c r="F78" s="135">
        <v>1</v>
      </c>
      <c r="G78" s="134">
        <f>D78/F78</f>
        <v>1E-3</v>
      </c>
      <c r="H78" s="134">
        <f>G78*E78/D78</f>
        <v>2.5000000000000001E-3</v>
      </c>
      <c r="I78" s="133" t="s">
        <v>96</v>
      </c>
      <c r="J78" s="131">
        <f>ROUND(G78*1000000,-1)</f>
        <v>1000</v>
      </c>
      <c r="K78" s="131">
        <f>ROUND(H78*1000000,-1)</f>
        <v>2500</v>
      </c>
      <c r="L78" s="132">
        <f ca="1">INDIRECT("für_Einstufung!A"&amp;M78)</f>
        <v>0</v>
      </c>
      <c r="M78" s="164">
        <v>78</v>
      </c>
      <c r="N78" s="189">
        <f ca="1">IF(OR(ISNUMBER(INDIRECT("für_Einstufung!"&amp;AH$1&amp;$AG78)),INDIRECT("für_Einstufung!"&amp;AH$1&amp;$AG78)="n.b."),INDIRECT("für_Einstufung!"&amp;AH$1&amp;$AG78),MID(INDIRECT("für_Einstufung!"&amp;AH$1&amp;$AG78),2,20)*1)</f>
        <v>10</v>
      </c>
      <c r="O78" s="188"/>
      <c r="P78" s="188">
        <f ca="1">IF(OR(ISNUMBER(INDIRECT("für_Einstufung!"&amp;AJ$1&amp;$AG78)),INDIRECT("für_Einstufung!"&amp;AJ$1&amp;$AG78)="n.b."),INDIRECT("für_Einstufung!"&amp;AJ$1&amp;$AG78),MID(INDIRECT("für_Einstufung!"&amp;AJ$1&amp;$AG78),2,20)*1)</f>
        <v>10</v>
      </c>
      <c r="Q78" s="188"/>
      <c r="R78" s="188">
        <f ca="1">IF(OR(ISNUMBER(INDIRECT("für_Einstufung!"&amp;AL$1&amp;$AG78)),INDIRECT("für_Einstufung!"&amp;AL$1&amp;$AG78)="n.b."),INDIRECT("für_Einstufung!"&amp;AL$1&amp;$AG78),MID(INDIRECT("für_Einstufung!"&amp;AL$1&amp;$AG78),2,20)*1)</f>
        <v>14.5</v>
      </c>
      <c r="S78" s="188"/>
      <c r="T78" s="188">
        <f ca="1">IF(OR(ISNUMBER(INDIRECT("für_Einstufung!"&amp;AN$1&amp;$AG78)),INDIRECT("für_Einstufung!"&amp;AN$1&amp;$AG78)="n.b."),INDIRECT("für_Einstufung!"&amp;AN$1&amp;$AG78),MID(INDIRECT("für_Einstufung!"&amp;AN$1&amp;$AG78),2,20)*1)</f>
        <v>10</v>
      </c>
      <c r="U78" s="188"/>
      <c r="V78" s="187">
        <f ca="1">IF(OR(ISNUMBER(INDIRECT("für_Einstufung!"&amp;AP$1&amp;$AG78)),INDIRECT("für_Einstufung!"&amp;AP$1&amp;$AG78)="n.b."),INDIRECT("für_Einstufung!"&amp;AP$1&amp;$AG78),MID(INDIRECT("für_Einstufung!"&amp;AP$1&amp;$AG78),2,20)*1)</f>
        <v>10</v>
      </c>
      <c r="W78" s="191" t="str">
        <f ca="1">IF(N78="n.b.","n.b.",IF(N78*0.000001&lt;$G78,"&lt; Bgr.",N78*0.000001/$H78))</f>
        <v>&lt; Bgr.</v>
      </c>
      <c r="X78" s="129"/>
      <c r="Y78" s="129" t="str">
        <f ca="1">IF(P78="n.b.","n.b.",IF(P78*0.000001&lt;$G78,"&lt; Bgr.",P78*0.000001/$H78))</f>
        <v>&lt; Bgr.</v>
      </c>
      <c r="Z78" s="129"/>
      <c r="AA78" s="129" t="str">
        <f ca="1">IF(R78="n.b.","n.b.",IF(R78*0.000001&lt;$G78,"&lt; Bgr.",R78*0.000001/$H78))</f>
        <v>&lt; Bgr.</v>
      </c>
      <c r="AB78" s="129"/>
      <c r="AC78" s="129" t="str">
        <f ca="1">IF(T78="n.b.","n.b.",IF(T78*0.000001&lt;$G78,"&lt; Bgr.",T78*0.000001/$H78))</f>
        <v>&lt; Bgr.</v>
      </c>
      <c r="AD78" s="129"/>
      <c r="AE78" s="129" t="str">
        <f ca="1">IF(V78="n.b.","n.b.",IF(V78*0.000001&lt;$G78,"&lt; Bgr.",V78*0.000001/$H78))</f>
        <v>&lt; Bgr.</v>
      </c>
      <c r="AG78" s="104">
        <v>86</v>
      </c>
      <c r="AH78" s="120" t="str">
        <f ca="1">INDIRECT("für_Einstufung!ai$"&amp;AG78)</f>
        <v>Pb_Stoffgr. 3</v>
      </c>
    </row>
    <row r="79" spans="1:34" ht="28.2" outlineLevel="1" thickBot="1" x14ac:dyDescent="0.3">
      <c r="A79" s="214" t="s">
        <v>30</v>
      </c>
      <c r="B79" s="138" t="s">
        <v>131</v>
      </c>
      <c r="C79" s="138" t="s">
        <v>130</v>
      </c>
      <c r="D79" s="137">
        <v>1E-3</v>
      </c>
      <c r="E79" s="136">
        <v>2.5000000000000001E-3</v>
      </c>
      <c r="F79" s="190">
        <v>2.4700000000000002</v>
      </c>
      <c r="G79" s="134">
        <f>D79/F79</f>
        <v>4.0485829959514168E-4</v>
      </c>
      <c r="H79" s="134">
        <f>G79*E79/D79</f>
        <v>1.0121457489878543E-3</v>
      </c>
      <c r="I79" s="133" t="s">
        <v>96</v>
      </c>
      <c r="J79" s="131">
        <f>ROUND(G79*1000000,0)</f>
        <v>405</v>
      </c>
      <c r="K79" s="131">
        <f>ROUND(H79*1000000,-1)</f>
        <v>1010</v>
      </c>
      <c r="L79" s="132">
        <f ca="1">INDIRECT("für_Einstufung!A"&amp;M79)</f>
        <v>0</v>
      </c>
      <c r="M79" s="164">
        <v>76</v>
      </c>
      <c r="N79" s="189">
        <f ca="1">IF(OR(ISNUMBER(INDIRECT("für_Einstufung!"&amp;AH$1&amp;$AG79)),INDIRECT("für_Einstufung!"&amp;AH$1&amp;$AG79)="n.b."),INDIRECT("für_Einstufung!"&amp;AH$1&amp;$AG79),MID(INDIRECT("für_Einstufung!"&amp;AH$1&amp;$AG79),2,20)*1)</f>
        <v>10</v>
      </c>
      <c r="O79" s="188"/>
      <c r="P79" s="188">
        <f ca="1">IF(OR(ISNUMBER(INDIRECT("für_Einstufung!"&amp;AJ$1&amp;$AG79)),INDIRECT("für_Einstufung!"&amp;AJ$1&amp;$AG79)="n.b."),INDIRECT("für_Einstufung!"&amp;AJ$1&amp;$AG79),MID(INDIRECT("für_Einstufung!"&amp;AJ$1&amp;$AG79),2,20)*1)</f>
        <v>10</v>
      </c>
      <c r="Q79" s="188"/>
      <c r="R79" s="188">
        <f ca="1">IF(OR(ISNUMBER(INDIRECT("für_Einstufung!"&amp;AL$1&amp;$AG79)),INDIRECT("für_Einstufung!"&amp;AL$1&amp;$AG79)="n.b."),INDIRECT("für_Einstufung!"&amp;AL$1&amp;$AG79),MID(INDIRECT("für_Einstufung!"&amp;AL$1&amp;$AG79),2,20)*1)</f>
        <v>10</v>
      </c>
      <c r="S79" s="188"/>
      <c r="T79" s="188">
        <f ca="1">IF(OR(ISNUMBER(INDIRECT("für_Einstufung!"&amp;AN$1&amp;$AG79)),INDIRECT("für_Einstufung!"&amp;AN$1&amp;$AG79)="n.b."),INDIRECT("für_Einstufung!"&amp;AN$1&amp;$AG79),MID(INDIRECT("für_Einstufung!"&amp;AN$1&amp;$AG79),2,20)*1)</f>
        <v>14.5</v>
      </c>
      <c r="U79" s="188"/>
      <c r="V79" s="187">
        <f ca="1">IF(OR(ISNUMBER(INDIRECT("für_Einstufung!"&amp;AP$1&amp;$AG79)),INDIRECT("für_Einstufung!"&amp;AP$1&amp;$AG79)="n.b."),INDIRECT("für_Einstufung!"&amp;AP$1&amp;$AG79),MID(INDIRECT("für_Einstufung!"&amp;AP$1&amp;$AG79),2,20)*1)</f>
        <v>10</v>
      </c>
      <c r="W79" s="191" t="str">
        <f ca="1">IF(N79="n.b.","n.b.",IF(N79*0.000001&lt;$G79,"&lt; Bgr.",N79*0.000001/$H79))</f>
        <v>&lt; Bgr.</v>
      </c>
      <c r="X79" s="129"/>
      <c r="Y79" s="129" t="str">
        <f ca="1">IF(P79="n.b.","n.b.",IF(P79*0.000001&lt;$G79,"&lt; Bgr.",P79*0.000001/$H79))</f>
        <v>&lt; Bgr.</v>
      </c>
      <c r="Z79" s="129"/>
      <c r="AA79" s="129" t="str">
        <f ca="1">IF(R79="n.b.","n.b.",IF(R79*0.000001&lt;$G79,"&lt; Bgr.",R79*0.000001/$H79))</f>
        <v>&lt; Bgr.</v>
      </c>
      <c r="AB79" s="129"/>
      <c r="AC79" s="129" t="str">
        <f ca="1">IF(T79="n.b.","n.b.",IF(T79*0.000001&lt;$G79,"&lt; Bgr.",T79*0.000001/$H79))</f>
        <v>&lt; Bgr.</v>
      </c>
      <c r="AD79" s="129"/>
      <c r="AE79" s="129" t="str">
        <f ca="1">IF(V79="n.b.","n.b.",IF(V79*0.000001&lt;$G79,"&lt; Bgr.",V79*0.000001/$H79))</f>
        <v>&lt; Bgr.</v>
      </c>
      <c r="AG79" s="104">
        <v>87</v>
      </c>
      <c r="AH79" s="120" t="str">
        <f ca="1">INDIRECT("für_Einstufung!ai$"&amp;AG79)</f>
        <v>Zn_Stoffgr. 3</v>
      </c>
    </row>
    <row r="80" spans="1:34" s="121" customFormat="1" outlineLevel="1" thickBot="1" x14ac:dyDescent="0.35">
      <c r="A80" s="155" t="s">
        <v>129</v>
      </c>
      <c r="B80" s="153"/>
      <c r="G80" s="186"/>
      <c r="H80" s="186"/>
      <c r="L80" s="153"/>
      <c r="V80" s="185"/>
      <c r="W80" s="123">
        <f ca="1">SUM(W76:W79)</f>
        <v>0</v>
      </c>
      <c r="X80" s="122"/>
      <c r="Y80" s="122">
        <f ca="1">SUM(Y76:Y79)</f>
        <v>0</v>
      </c>
      <c r="Z80" s="122"/>
      <c r="AA80" s="122">
        <f ca="1">SUM(AA76:AA79)</f>
        <v>0</v>
      </c>
      <c r="AB80" s="122"/>
      <c r="AC80" s="122">
        <f ca="1">SUM(AC76:AC79)</f>
        <v>0</v>
      </c>
      <c r="AD80" s="122"/>
      <c r="AE80" s="122">
        <f ca="1">SUM(AE76:AE79)</f>
        <v>0</v>
      </c>
      <c r="AF80" s="93"/>
      <c r="AG80" s="104"/>
      <c r="AH80" s="184"/>
    </row>
    <row r="81" spans="1:34" outlineLevel="1" thickBot="1" x14ac:dyDescent="0.35">
      <c r="A81" s="183" t="s">
        <v>128</v>
      </c>
      <c r="B81" s="181"/>
      <c r="C81" s="119"/>
      <c r="D81" s="119"/>
      <c r="E81" s="119"/>
      <c r="F81" s="119"/>
      <c r="G81" s="182"/>
      <c r="H81" s="182"/>
      <c r="I81" s="119"/>
      <c r="J81" s="119"/>
      <c r="K81" s="119"/>
      <c r="L81" s="181"/>
      <c r="M81" s="119"/>
      <c r="N81" s="119"/>
      <c r="O81" s="119"/>
      <c r="P81" s="119"/>
      <c r="Q81" s="119"/>
      <c r="R81" s="119"/>
      <c r="S81" s="119"/>
      <c r="T81" s="119"/>
      <c r="U81" s="119"/>
      <c r="V81" s="180"/>
      <c r="W81" s="179">
        <f ca="1">SUM(W80,W74,W68,W57)</f>
        <v>0</v>
      </c>
      <c r="X81" s="178"/>
      <c r="Y81" s="178">
        <f ca="1">SUM(Y80,Y74,Y68,Y57)</f>
        <v>0</v>
      </c>
      <c r="Z81" s="178"/>
      <c r="AA81" s="178">
        <f ca="1">SUM(AA80,AA74,AA68,AA57)</f>
        <v>0</v>
      </c>
      <c r="AB81" s="178"/>
      <c r="AC81" s="178">
        <f ca="1">SUM(AC80,AC74,AC68,AC57)</f>
        <v>0</v>
      </c>
      <c r="AD81" s="178"/>
      <c r="AE81" s="178">
        <f ca="1">SUM(AE80,AE74,AE68,AE57)</f>
        <v>0</v>
      </c>
    </row>
    <row r="82" spans="1:34" ht="13.8" outlineLevel="1" x14ac:dyDescent="0.3">
      <c r="A82" s="93"/>
      <c r="G82" s="213"/>
      <c r="H82" s="213"/>
      <c r="M82" s="113"/>
      <c r="N82" s="113"/>
      <c r="O82" s="113"/>
      <c r="P82" s="113"/>
      <c r="Q82" s="113"/>
      <c r="R82" s="113"/>
      <c r="S82" s="113"/>
      <c r="T82" s="113"/>
      <c r="U82" s="113"/>
      <c r="V82" s="113"/>
      <c r="W82" s="112"/>
      <c r="X82" s="112"/>
      <c r="Y82" s="112"/>
      <c r="Z82" s="112"/>
      <c r="AA82" s="112"/>
      <c r="AB82" s="112"/>
      <c r="AC82" s="112"/>
      <c r="AD82" s="112"/>
      <c r="AE82" s="112"/>
    </row>
    <row r="83" spans="1:34" ht="13.8" x14ac:dyDescent="0.3">
      <c r="G83" s="175"/>
      <c r="H83" s="175"/>
      <c r="M83" s="113"/>
      <c r="N83" s="113"/>
      <c r="O83" s="113"/>
      <c r="P83" s="113"/>
      <c r="Q83" s="113"/>
      <c r="R83" s="113"/>
      <c r="S83" s="113"/>
      <c r="T83" s="113"/>
      <c r="U83" s="113"/>
      <c r="V83" s="113"/>
      <c r="W83" s="112"/>
      <c r="X83" s="112"/>
      <c r="Y83" s="112"/>
      <c r="Z83" s="112"/>
      <c r="AA83" s="112"/>
      <c r="AB83" s="112"/>
      <c r="AC83" s="112"/>
      <c r="AD83" s="112"/>
      <c r="AE83" s="112"/>
    </row>
    <row r="84" spans="1:34" ht="13.8" x14ac:dyDescent="0.3">
      <c r="A84" s="176" t="s">
        <v>147</v>
      </c>
      <c r="G84" s="213"/>
      <c r="H84" s="175"/>
      <c r="M84" s="113"/>
      <c r="N84" s="113"/>
      <c r="O84" s="113"/>
      <c r="P84" s="113"/>
      <c r="Q84" s="113"/>
      <c r="R84" s="113"/>
      <c r="S84" s="113"/>
      <c r="T84" s="113"/>
      <c r="U84" s="113"/>
      <c r="V84" s="113"/>
      <c r="W84" s="112"/>
      <c r="X84" s="112"/>
      <c r="Y84" s="112"/>
      <c r="Z84" s="112"/>
      <c r="AA84" s="112"/>
      <c r="AB84" s="112"/>
      <c r="AC84" s="112"/>
      <c r="AD84" s="112"/>
      <c r="AE84" s="112"/>
    </row>
    <row r="85" spans="1:34" ht="13.8" hidden="1" outlineLevel="1" x14ac:dyDescent="0.3">
      <c r="G85" s="175"/>
      <c r="H85" s="175"/>
      <c r="M85" s="113"/>
      <c r="N85" s="113"/>
      <c r="O85" s="113"/>
      <c r="P85" s="113"/>
      <c r="Q85" s="113"/>
      <c r="R85" s="113"/>
      <c r="S85" s="113"/>
      <c r="T85" s="113"/>
      <c r="U85" s="113"/>
      <c r="V85" s="113"/>
      <c r="W85" s="112"/>
      <c r="X85" s="112"/>
      <c r="Y85" s="112"/>
      <c r="Z85" s="112"/>
      <c r="AA85" s="112"/>
      <c r="AB85" s="112"/>
      <c r="AC85" s="112"/>
      <c r="AD85" s="112"/>
      <c r="AE85" s="112"/>
    </row>
    <row r="86" spans="1:34" ht="81" hidden="1" outlineLevel="1" thickBot="1" x14ac:dyDescent="0.3">
      <c r="A86" s="174" t="s">
        <v>126</v>
      </c>
      <c r="B86" s="171" t="s">
        <v>125</v>
      </c>
      <c r="C86" s="171" t="s">
        <v>124</v>
      </c>
      <c r="D86" s="171" t="s">
        <v>123</v>
      </c>
      <c r="E86" s="173" t="s">
        <v>122</v>
      </c>
      <c r="F86" s="316" t="s">
        <v>121</v>
      </c>
      <c r="G86" s="171" t="s">
        <v>119</v>
      </c>
      <c r="H86" s="171" t="s">
        <v>118</v>
      </c>
      <c r="I86" s="172" t="s">
        <v>120</v>
      </c>
      <c r="J86" s="171" t="s">
        <v>119</v>
      </c>
      <c r="K86" s="171" t="s">
        <v>118</v>
      </c>
      <c r="L86" s="170" t="s">
        <v>117</v>
      </c>
      <c r="M86" s="169" t="s">
        <v>116</v>
      </c>
      <c r="N86" s="312" t="s">
        <v>115</v>
      </c>
      <c r="O86" s="313"/>
      <c r="P86" s="313"/>
      <c r="Q86" s="313"/>
      <c r="R86" s="313"/>
      <c r="S86" s="313"/>
      <c r="T86" s="313"/>
      <c r="U86" s="313"/>
      <c r="V86" s="314"/>
      <c r="W86" s="313" t="s">
        <v>114</v>
      </c>
      <c r="X86" s="313"/>
      <c r="Y86" s="313"/>
      <c r="Z86" s="313"/>
      <c r="AA86" s="313"/>
      <c r="AB86" s="313"/>
      <c r="AC86" s="313"/>
      <c r="AD86" s="313"/>
      <c r="AE86" s="315"/>
    </row>
    <row r="87" spans="1:34" ht="27.6" hidden="1" outlineLevel="1" thickBot="1" x14ac:dyDescent="0.35">
      <c r="A87" s="168"/>
      <c r="B87" s="165"/>
      <c r="C87" s="166"/>
      <c r="D87" s="166" t="s">
        <v>67</v>
      </c>
      <c r="E87" s="166" t="s">
        <v>67</v>
      </c>
      <c r="F87" s="317"/>
      <c r="G87" s="166" t="s">
        <v>113</v>
      </c>
      <c r="H87" s="166" t="s">
        <v>113</v>
      </c>
      <c r="I87" s="167" t="s">
        <v>112</v>
      </c>
      <c r="J87" s="166" t="s">
        <v>111</v>
      </c>
      <c r="K87" s="166" t="s">
        <v>111</v>
      </c>
      <c r="L87" s="165"/>
      <c r="M87" s="164"/>
      <c r="N87" s="163" t="s">
        <v>110</v>
      </c>
      <c r="O87" s="162"/>
      <c r="P87" s="162" t="s">
        <v>109</v>
      </c>
      <c r="Q87" s="162"/>
      <c r="R87" s="162" t="s">
        <v>108</v>
      </c>
      <c r="S87" s="162"/>
      <c r="T87" s="162" t="s">
        <v>107</v>
      </c>
      <c r="U87" s="162"/>
      <c r="V87" s="161" t="s">
        <v>106</v>
      </c>
      <c r="W87" s="160" t="s">
        <v>110</v>
      </c>
      <c r="X87" s="159"/>
      <c r="Y87" s="159" t="s">
        <v>109</v>
      </c>
      <c r="Z87" s="159"/>
      <c r="AA87" s="159" t="s">
        <v>108</v>
      </c>
      <c r="AB87" s="159"/>
      <c r="AC87" s="159" t="s">
        <v>107</v>
      </c>
      <c r="AD87" s="159"/>
      <c r="AE87" s="159" t="s">
        <v>106</v>
      </c>
    </row>
    <row r="88" spans="1:34" ht="15.6" hidden="1" outlineLevel="1" x14ac:dyDescent="0.25">
      <c r="A88" s="210"/>
      <c r="B88" s="209"/>
      <c r="C88" s="208"/>
      <c r="D88" s="208"/>
      <c r="E88" s="208"/>
      <c r="F88" s="208"/>
      <c r="G88" s="208"/>
      <c r="H88" s="208"/>
      <c r="I88" s="206"/>
      <c r="J88" s="206"/>
      <c r="K88" s="206"/>
      <c r="L88" s="205"/>
      <c r="M88" s="204"/>
      <c r="N88" s="204"/>
      <c r="O88" s="204"/>
      <c r="P88" s="204"/>
      <c r="Q88" s="204"/>
      <c r="R88" s="204"/>
      <c r="S88" s="204"/>
      <c r="T88" s="204"/>
      <c r="U88" s="204"/>
      <c r="V88" s="204"/>
      <c r="W88" s="203"/>
      <c r="X88" s="203"/>
      <c r="Y88" s="203"/>
      <c r="Z88" s="203"/>
      <c r="AA88" s="203"/>
      <c r="AB88" s="203"/>
      <c r="AC88" s="203"/>
      <c r="AD88" s="203"/>
      <c r="AE88" s="202"/>
      <c r="AH88" s="120"/>
    </row>
    <row r="89" spans="1:34" ht="16.2" hidden="1" outlineLevel="1" thickBot="1" x14ac:dyDescent="0.3">
      <c r="A89" s="201" t="s">
        <v>144</v>
      </c>
      <c r="B89" s="200"/>
      <c r="C89" s="199"/>
      <c r="D89" s="199"/>
      <c r="E89" s="199"/>
      <c r="F89" s="199"/>
      <c r="G89" s="199"/>
      <c r="H89" s="199"/>
      <c r="I89" s="197"/>
      <c r="J89" s="197"/>
      <c r="K89" s="197"/>
      <c r="L89" s="196"/>
      <c r="M89" s="143"/>
      <c r="N89" s="143"/>
      <c r="O89" s="143"/>
      <c r="P89" s="143"/>
      <c r="Q89" s="143"/>
      <c r="R89" s="143"/>
      <c r="S89" s="143"/>
      <c r="T89" s="143"/>
      <c r="U89" s="143"/>
      <c r="V89" s="143"/>
      <c r="W89" s="195"/>
      <c r="X89" s="195"/>
      <c r="Y89" s="195"/>
      <c r="Z89" s="195"/>
      <c r="AA89" s="195"/>
      <c r="AB89" s="195"/>
      <c r="AC89" s="195"/>
      <c r="AD89" s="195"/>
      <c r="AE89" s="194"/>
      <c r="AH89" s="120"/>
    </row>
    <row r="90" spans="1:34" hidden="1" outlineLevel="1" thickBot="1" x14ac:dyDescent="0.3">
      <c r="A90" s="212" t="s">
        <v>146</v>
      </c>
      <c r="B90" s="138" t="s">
        <v>144</v>
      </c>
      <c r="C90" s="138" t="s">
        <v>145</v>
      </c>
      <c r="D90" s="137">
        <v>1E-3</v>
      </c>
      <c r="E90" s="137">
        <v>5.0000000000000001E-3</v>
      </c>
      <c r="F90" s="135">
        <v>1.5349999999999999</v>
      </c>
      <c r="G90" s="134">
        <f>D90/F90</f>
        <v>6.5146579804560263E-4</v>
      </c>
      <c r="H90" s="134">
        <f>G90*E90/D90</f>
        <v>3.2573289902280132E-3</v>
      </c>
      <c r="I90" s="133" t="s">
        <v>143</v>
      </c>
      <c r="J90" s="131">
        <f>ROUND(G90*1000000,0)</f>
        <v>651</v>
      </c>
      <c r="K90" s="131">
        <f>ROUND(H90*1000000,-1)</f>
        <v>3260</v>
      </c>
      <c r="L90" s="132">
        <f ca="1">INDIRECT("für_Einstufung!A"&amp;M90)</f>
        <v>0</v>
      </c>
      <c r="M90" s="164">
        <v>70</v>
      </c>
      <c r="N90" s="130">
        <f ca="1">IF(OR(ISNUMBER(INDIRECT("für_Einstufung!"&amp;AH$1&amp;$AG90)),INDIRECT("für_Einstufung!"&amp;AH$1&amp;$AG90)="n.b."),INDIRECT("für_Einstufung!"&amp;AH$1&amp;$AG90),MID(INDIRECT("für_Einstufung!"&amp;AH$1&amp;$AG90),2,20)*1)</f>
        <v>108</v>
      </c>
      <c r="O90" s="131"/>
      <c r="P90" s="131">
        <f ca="1">IF(OR(ISNUMBER(INDIRECT("für_Einstufung!"&amp;AJ$1&amp;$AG90)),INDIRECT("für_Einstufung!"&amp;AJ$1&amp;$AG90)="n.b."),INDIRECT("für_Einstufung!"&amp;AJ$1&amp;$AG90),MID(INDIRECT("für_Einstufung!"&amp;AJ$1&amp;$AG90),2,20)*1)</f>
        <v>111</v>
      </c>
      <c r="Q90" s="131"/>
      <c r="R90" s="131">
        <f ca="1">IF(OR(ISNUMBER(INDIRECT("für_Einstufung!"&amp;AL$1&amp;$AG90)),INDIRECT("für_Einstufung!"&amp;AL$1&amp;$AG90)="n.b."),INDIRECT("für_Einstufung!"&amp;AL$1&amp;$AG90),MID(INDIRECT("für_Einstufung!"&amp;AL$1&amp;$AG90),2,20)*1)</f>
        <v>111</v>
      </c>
      <c r="S90" s="131"/>
      <c r="T90" s="131">
        <f ca="1">IF(OR(ISNUMBER(INDIRECT("für_Einstufung!"&amp;AN$1&amp;$AG90)),INDIRECT("für_Einstufung!"&amp;AN$1&amp;$AG90)="n.b."),INDIRECT("für_Einstufung!"&amp;AN$1&amp;$AG90),MID(INDIRECT("für_Einstufung!"&amp;AN$1&amp;$AG90),2,20)*1)</f>
        <v>111</v>
      </c>
      <c r="U90" s="131"/>
      <c r="V90" s="157">
        <f ca="1">IF(OR(ISNUMBER(INDIRECT("für_Einstufung!"&amp;AP$1&amp;$AG90)),INDIRECT("für_Einstufung!"&amp;AP$1&amp;$AG90)="n.b."),INDIRECT("für_Einstufung!"&amp;AP$1&amp;$AG90),MID(INDIRECT("für_Einstufung!"&amp;AP$1&amp;$AG90),2,20)*1)</f>
        <v>107</v>
      </c>
      <c r="W90" s="141" t="str">
        <f ca="1">IF(N90="n.b.","n.b.",IF(N90*0.000001&lt;$G90,"&lt; Bgr.",N90*0.000001/$H90))</f>
        <v>&lt; Bgr.</v>
      </c>
      <c r="X90" s="140"/>
      <c r="Y90" s="140" t="str">
        <f ca="1">IF(P90="n.b.","n.b.",IF(P90*0.000001&lt;$G90,"&lt; Bgr.",P90*0.000001/$H90))</f>
        <v>&lt; Bgr.</v>
      </c>
      <c r="Z90" s="140"/>
      <c r="AA90" s="140" t="str">
        <f ca="1">IF(R90="n.b.","n.b.",IF(R90*0.000001&lt;$G90,"&lt; Bgr.",R90*0.000001/$H90))</f>
        <v>&lt; Bgr.</v>
      </c>
      <c r="AB90" s="140"/>
      <c r="AC90" s="140" t="str">
        <f ca="1">IF(T90="n.b.","n.b.",IF(T90*0.000001&lt;$G90,"&lt; Bgr.",T90*0.000001/$H90))</f>
        <v>&lt; Bgr.</v>
      </c>
      <c r="AD90" s="140"/>
      <c r="AE90" s="140" t="str">
        <f ca="1">IF(V90="n.b.","n.b.",IF(V90*0.000001&lt;$G90,"&lt; Bgr.",V90*0.000001/$H90))</f>
        <v>&lt; Bgr.</v>
      </c>
      <c r="AG90" s="104">
        <v>79</v>
      </c>
      <c r="AH90" s="120" t="str">
        <f ca="1">INDIRECT("für_Einstufung!ai$"&amp;AG90)</f>
        <v>Cu_Stoffgr. 2</v>
      </c>
    </row>
    <row r="91" spans="1:34" hidden="1" outlineLevel="1" thickBot="1" x14ac:dyDescent="0.3">
      <c r="A91" s="212" t="s">
        <v>30</v>
      </c>
      <c r="B91" s="138" t="s">
        <v>144</v>
      </c>
      <c r="C91" s="138" t="s">
        <v>130</v>
      </c>
      <c r="D91" s="137">
        <v>0.01</v>
      </c>
      <c r="E91" s="211">
        <v>0.25</v>
      </c>
      <c r="F91" s="190">
        <v>2.4700000000000002</v>
      </c>
      <c r="G91" s="134">
        <f>D91/F91</f>
        <v>4.048582995951417E-3</v>
      </c>
      <c r="H91" s="137">
        <f>G91*E91/D91</f>
        <v>0.10121457489878542</v>
      </c>
      <c r="I91" s="133" t="s">
        <v>143</v>
      </c>
      <c r="J91" s="131">
        <f>ROUND(G91*1000000,-1)</f>
        <v>4050</v>
      </c>
      <c r="K91" s="131">
        <f>ROUND(H91*1000000,-3)</f>
        <v>101000</v>
      </c>
      <c r="L91" s="132">
        <f ca="1">INDIRECT("für_Einstufung!A"&amp;M91)</f>
        <v>0</v>
      </c>
      <c r="M91" s="164">
        <v>41</v>
      </c>
      <c r="N91" s="130">
        <f ca="1">IF(OR(ISNUMBER(INDIRECT("für_Einstufung!"&amp;AH$1&amp;$AG91)),INDIRECT("für_Einstufung!"&amp;AH$1&amp;$AG91)="n.b."),INDIRECT("für_Einstufung!"&amp;AH$1&amp;$AG91),MID(INDIRECT("für_Einstufung!"&amp;AH$1&amp;$AG91),2,20)*1)</f>
        <v>1130</v>
      </c>
      <c r="O91" s="131"/>
      <c r="P91" s="131">
        <f ca="1">IF(OR(ISNUMBER(INDIRECT("für_Einstufung!"&amp;AJ$1&amp;$AG91)),INDIRECT("für_Einstufung!"&amp;AJ$1&amp;$AG91)="n.b."),INDIRECT("für_Einstufung!"&amp;AJ$1&amp;$AG91),MID(INDIRECT("für_Einstufung!"&amp;AJ$1&amp;$AG91),2,20)*1)</f>
        <v>1120</v>
      </c>
      <c r="Q91" s="131"/>
      <c r="R91" s="131">
        <f ca="1">IF(OR(ISNUMBER(INDIRECT("für_Einstufung!"&amp;AL$1&amp;$AG91)),INDIRECT("für_Einstufung!"&amp;AL$1&amp;$AG91)="n.b."),INDIRECT("für_Einstufung!"&amp;AL$1&amp;$AG91),MID(INDIRECT("für_Einstufung!"&amp;AL$1&amp;$AG91),2,20)*1)</f>
        <v>1120</v>
      </c>
      <c r="S91" s="131"/>
      <c r="T91" s="131">
        <f ca="1">IF(OR(ISNUMBER(INDIRECT("für_Einstufung!"&amp;AN$1&amp;$AG91)),INDIRECT("für_Einstufung!"&amp;AN$1&amp;$AG91)="n.b."),INDIRECT("für_Einstufung!"&amp;AN$1&amp;$AG91),MID(INDIRECT("für_Einstufung!"&amp;AN$1&amp;$AG91),2,20)*1)</f>
        <v>1120</v>
      </c>
      <c r="U91" s="131"/>
      <c r="V91" s="157">
        <f ca="1">IF(OR(ISNUMBER(INDIRECT("für_Einstufung!"&amp;AP$1&amp;$AG91)),INDIRECT("für_Einstufung!"&amp;AP$1&amp;$AG91)="n.b."),INDIRECT("für_Einstufung!"&amp;AP$1&amp;$AG91),MID(INDIRECT("für_Einstufung!"&amp;AP$1&amp;$AG91),2,20)*1)</f>
        <v>1120</v>
      </c>
      <c r="W91" s="141" t="str">
        <f ca="1">IF(N91="n.b.","n.b.",IF(N91*0.000001&lt;$G91,"&lt; Bgr.",N91*0.000001/$H91))</f>
        <v>&lt; Bgr.</v>
      </c>
      <c r="X91" s="140"/>
      <c r="Y91" s="140" t="str">
        <f ca="1">IF(P91="n.b.","n.b.",IF(P91*0.000001&lt;$G91,"&lt; Bgr.",P91*0.000001/$H91))</f>
        <v>&lt; Bgr.</v>
      </c>
      <c r="Z91" s="140"/>
      <c r="AA91" s="140" t="str">
        <f ca="1">IF(R91="n.b.","n.b.",IF(R91*0.000001&lt;$G91,"&lt; Bgr.",R91*0.000001/$H91))</f>
        <v>&lt; Bgr.</v>
      </c>
      <c r="AB91" s="140"/>
      <c r="AC91" s="140" t="str">
        <f ca="1">IF(T91="n.b.","n.b.",IF(T91*0.000001&lt;$G91,"&lt; Bgr.",T91*0.000001/$H91))</f>
        <v>&lt; Bgr.</v>
      </c>
      <c r="AD91" s="140"/>
      <c r="AE91" s="140" t="str">
        <f ca="1">IF(V91="n.b.","n.b.",IF(V91*0.000001&lt;$G91,"&lt; Bgr.",V91*0.000001/$H91))</f>
        <v>&lt; Bgr.</v>
      </c>
      <c r="AG91" s="104">
        <v>46</v>
      </c>
      <c r="AH91" s="120" t="str">
        <f ca="1">INDIRECT("für_Einstufung!ai$"&amp;AG91)</f>
        <v>Zn</v>
      </c>
    </row>
    <row r="92" spans="1:34" ht="15.6" hidden="1" outlineLevel="1" x14ac:dyDescent="0.25">
      <c r="A92" s="210"/>
      <c r="B92" s="209"/>
      <c r="C92" s="208"/>
      <c r="D92" s="208"/>
      <c r="E92" s="208"/>
      <c r="F92" s="208"/>
      <c r="G92" s="207"/>
      <c r="H92" s="207"/>
      <c r="I92" s="206"/>
      <c r="J92" s="206"/>
      <c r="K92" s="206"/>
      <c r="L92" s="205"/>
      <c r="M92" s="204"/>
      <c r="N92" s="204"/>
      <c r="O92" s="204"/>
      <c r="P92" s="204"/>
      <c r="Q92" s="204"/>
      <c r="R92" s="204"/>
      <c r="S92" s="204"/>
      <c r="T92" s="204"/>
      <c r="U92" s="204"/>
      <c r="V92" s="204"/>
      <c r="W92" s="203"/>
      <c r="X92" s="203"/>
      <c r="Y92" s="203"/>
      <c r="Z92" s="203"/>
      <c r="AA92" s="203"/>
      <c r="AB92" s="203"/>
      <c r="AC92" s="203"/>
      <c r="AD92" s="203"/>
      <c r="AE92" s="202"/>
      <c r="AH92" s="120"/>
    </row>
    <row r="93" spans="1:34" ht="16.2" hidden="1" outlineLevel="1" thickBot="1" x14ac:dyDescent="0.3">
      <c r="A93" s="201" t="s">
        <v>142</v>
      </c>
      <c r="B93" s="200"/>
      <c r="C93" s="199"/>
      <c r="D93" s="199"/>
      <c r="E93" s="199"/>
      <c r="F93" s="199"/>
      <c r="G93" s="198"/>
      <c r="H93" s="198"/>
      <c r="I93" s="197"/>
      <c r="J93" s="197"/>
      <c r="K93" s="197"/>
      <c r="L93" s="196"/>
      <c r="M93" s="143"/>
      <c r="N93" s="143"/>
      <c r="O93" s="143"/>
      <c r="P93" s="143"/>
      <c r="Q93" s="143"/>
      <c r="R93" s="143"/>
      <c r="S93" s="143"/>
      <c r="T93" s="143"/>
      <c r="U93" s="143"/>
      <c r="V93" s="143"/>
      <c r="W93" s="195"/>
      <c r="X93" s="195"/>
      <c r="Y93" s="195"/>
      <c r="Z93" s="195"/>
      <c r="AA93" s="195"/>
      <c r="AB93" s="195"/>
      <c r="AC93" s="195"/>
      <c r="AD93" s="195"/>
      <c r="AE93" s="194"/>
      <c r="AH93" s="120"/>
    </row>
    <row r="94" spans="1:34" hidden="1" outlineLevel="1" thickBot="1" x14ac:dyDescent="0.3">
      <c r="A94" s="193" t="s">
        <v>141</v>
      </c>
      <c r="B94" s="151"/>
      <c r="C94" s="151"/>
      <c r="D94" s="150"/>
      <c r="E94" s="149"/>
      <c r="F94" s="148"/>
      <c r="G94" s="149"/>
      <c r="H94" s="149"/>
      <c r="I94" s="146"/>
      <c r="J94" s="146"/>
      <c r="K94" s="146"/>
      <c r="L94" s="145"/>
      <c r="M94" s="144"/>
      <c r="N94" s="144"/>
      <c r="O94" s="144"/>
      <c r="P94" s="144"/>
      <c r="Q94" s="144"/>
      <c r="R94" s="144"/>
      <c r="S94" s="144"/>
      <c r="T94" s="144"/>
      <c r="U94" s="144"/>
      <c r="V94" s="144"/>
      <c r="W94" s="142"/>
      <c r="X94" s="142"/>
      <c r="Y94" s="142"/>
      <c r="Z94" s="142"/>
      <c r="AA94" s="142"/>
      <c r="AB94" s="142"/>
      <c r="AC94" s="142"/>
      <c r="AD94" s="142"/>
      <c r="AE94" s="141"/>
    </row>
    <row r="95" spans="1:34" ht="28.2" hidden="1" outlineLevel="1" thickBot="1" x14ac:dyDescent="0.3">
      <c r="A95" s="139" t="s">
        <v>33</v>
      </c>
      <c r="B95" s="138" t="s">
        <v>138</v>
      </c>
      <c r="C95" s="138" t="s">
        <v>33</v>
      </c>
      <c r="D95" s="137">
        <v>0.01</v>
      </c>
      <c r="E95" s="136">
        <v>2.5000000000000001E-2</v>
      </c>
      <c r="F95" s="135">
        <v>1</v>
      </c>
      <c r="G95" s="134">
        <f>D95/F95</f>
        <v>0.01</v>
      </c>
      <c r="H95" s="134">
        <f>G95*E95/D95</f>
        <v>2.5000000000000001E-2</v>
      </c>
      <c r="I95" s="133" t="s">
        <v>96</v>
      </c>
      <c r="J95" s="131">
        <f>ROUND(G95*1000000,-1)</f>
        <v>10000</v>
      </c>
      <c r="K95" s="131">
        <f>ROUND(H95*1000000,-1)</f>
        <v>25000</v>
      </c>
      <c r="L95" s="132">
        <f ca="1">INDIRECT("für_Einstufung!A"&amp;M95)</f>
        <v>0</v>
      </c>
      <c r="M95" s="164">
        <v>59</v>
      </c>
      <c r="N95" s="130">
        <f ca="1">IF(OR(ISNUMBER(INDIRECT("für_Einstufung!"&amp;AH$1&amp;$AG95)),INDIRECT("für_Einstufung!"&amp;AH$1&amp;$AG95)="n.b."),INDIRECT("für_Einstufung!"&amp;AH$1&amp;$AG95),MID(INDIRECT("für_Einstufung!"&amp;AH$1&amp;$AG95),2,20)*1)</f>
        <v>40</v>
      </c>
      <c r="O95" s="131"/>
      <c r="P95" s="131">
        <f ca="1">IF(OR(ISNUMBER(INDIRECT("für_Einstufung!"&amp;AJ$1&amp;$AG95)),INDIRECT("für_Einstufung!"&amp;AJ$1&amp;$AG95)="n.b."),INDIRECT("für_Einstufung!"&amp;AJ$1&amp;$AG95),MID(INDIRECT("für_Einstufung!"&amp;AJ$1&amp;$AG95),2,20)*1)</f>
        <v>520</v>
      </c>
      <c r="Q95" s="131"/>
      <c r="R95" s="131">
        <f ca="1">IF(OR(ISNUMBER(INDIRECT("für_Einstufung!"&amp;AL$1&amp;$AG95)),INDIRECT("für_Einstufung!"&amp;AL$1&amp;$AG95)="n.b."),INDIRECT("für_Einstufung!"&amp;AL$1&amp;$AG95),MID(INDIRECT("für_Einstufung!"&amp;AL$1&amp;$AG95),2,20)*1)</f>
        <v>520</v>
      </c>
      <c r="S95" s="131"/>
      <c r="T95" s="131">
        <f ca="1">IF(OR(ISNUMBER(INDIRECT("für_Einstufung!"&amp;AN$1&amp;$AG95)),INDIRECT("für_Einstufung!"&amp;AN$1&amp;$AG95)="n.b."),INDIRECT("für_Einstufung!"&amp;AN$1&amp;$AG95),MID(INDIRECT("für_Einstufung!"&amp;AN$1&amp;$AG95),2,20)*1)</f>
        <v>520</v>
      </c>
      <c r="U95" s="131"/>
      <c r="V95" s="157">
        <f ca="1">IF(OR(ISNUMBER(INDIRECT("für_Einstufung!"&amp;AP$1&amp;$AG95)),INDIRECT("für_Einstufung!"&amp;AP$1&amp;$AG95)="n.b."),INDIRECT("für_Einstufung!"&amp;AP$1&amp;$AG95),MID(INDIRECT("für_Einstufung!"&amp;AP$1&amp;$AG95),2,20)*1)</f>
        <v>520</v>
      </c>
      <c r="W95" s="191" t="str">
        <f ca="1">IF(OR(N95="Fehler (oder n.b.)",N95="n.b."),"n.b.",IF(N95*0.000001&lt;$G95,"&lt; Bgr.",N95*0.000001/$H95))</f>
        <v>&lt; Bgr.</v>
      </c>
      <c r="X95" s="129"/>
      <c r="Y95" s="191" t="str">
        <f ca="1">IF(OR(P95="Fehler (oder n.b.)",P95="n.b."),"n.b.",IF(P95*0.000001&lt;$G95,"&lt; Bgr.",P95*0.000001/$H95))</f>
        <v>&lt; Bgr.</v>
      </c>
      <c r="Z95" s="129"/>
      <c r="AA95" s="191" t="str">
        <f ca="1">IF(OR(R95="Fehler (oder n.b.)",R95="n.b."),"n.b.",IF(R95*0.000001&lt;$G95,"&lt; Bgr.",R95*0.000001/$H95))</f>
        <v>&lt; Bgr.</v>
      </c>
      <c r="AB95" s="129"/>
      <c r="AC95" s="191" t="str">
        <f ca="1">IF(OR(T95="Fehler (oder n.b.)",T95="n.b."),"n.b.",IF(T95*0.000001&lt;$G95,"&lt; Bgr.",T95*0.000001/$H95))</f>
        <v>&lt; Bgr.</v>
      </c>
      <c r="AD95" s="129"/>
      <c r="AE95" s="191" t="str">
        <f ca="1">IF(OR(V95="Fehler (oder n.b.)",V95="n.b."),"n.b.",IF(V95*0.000001&lt;$G95,"&lt; Bgr.",V95*0.000001/$H95))</f>
        <v>&lt; Bgr.</v>
      </c>
      <c r="AG95" s="104">
        <v>61</v>
      </c>
      <c r="AH95" s="120" t="str">
        <f ca="1">INDIRECT("für_Einstufung!ai$"&amp;AG95)</f>
        <v>Cu_goL &lt; 1 mm</v>
      </c>
    </row>
    <row r="96" spans="1:34" ht="28.2" hidden="1" outlineLevel="1" thickBot="1" x14ac:dyDescent="0.3">
      <c r="A96" s="139" t="s">
        <v>32</v>
      </c>
      <c r="B96" s="138" t="s">
        <v>138</v>
      </c>
      <c r="C96" s="138" t="s">
        <v>32</v>
      </c>
      <c r="D96" s="192" t="s">
        <v>140</v>
      </c>
      <c r="E96" s="149"/>
      <c r="F96" s="148"/>
      <c r="G96" s="149"/>
      <c r="H96" s="149"/>
      <c r="I96" s="146"/>
      <c r="J96" s="146"/>
      <c r="K96" s="146"/>
      <c r="L96" s="132">
        <f ca="1">INDIRECT("für_Einstufung!A"&amp;M96)</f>
        <v>0</v>
      </c>
      <c r="M96" s="164">
        <v>59</v>
      </c>
      <c r="N96" s="130">
        <f ca="1">IF(OR(ISNUMBER(INDIRECT("für_Einstufung!"&amp;AH$1&amp;$AG96)),INDIRECT("für_Einstufung!"&amp;AH$1&amp;$AG96)="n.b."),INDIRECT("für_Einstufung!"&amp;AH$1&amp;$AG96),MID(INDIRECT("für_Einstufung!"&amp;AH$1&amp;$AG96),2,20)*1)</f>
        <v>60</v>
      </c>
      <c r="O96" s="131"/>
      <c r="P96" s="131">
        <f ca="1">IF(OR(ISNUMBER(INDIRECT("für_Einstufung!"&amp;AJ$1&amp;$AG96)),INDIRECT("für_Einstufung!"&amp;AJ$1&amp;$AG96)="n.b."),INDIRECT("für_Einstufung!"&amp;AJ$1&amp;$AG96),MID(INDIRECT("für_Einstufung!"&amp;AJ$1&amp;$AG96),2,20)*1)</f>
        <v>600</v>
      </c>
      <c r="Q96" s="131"/>
      <c r="R96" s="131">
        <f ca="1">IF(OR(ISNUMBER(INDIRECT("für_Einstufung!"&amp;AL$1&amp;$AG96)),INDIRECT("für_Einstufung!"&amp;AL$1&amp;$AG96)="n.b."),INDIRECT("für_Einstufung!"&amp;AL$1&amp;$AG96),MID(INDIRECT("für_Einstufung!"&amp;AL$1&amp;$AG96),2,20)*1)</f>
        <v>600</v>
      </c>
      <c r="S96" s="131"/>
      <c r="T96" s="131">
        <f ca="1">IF(OR(ISNUMBER(INDIRECT("für_Einstufung!"&amp;AN$1&amp;$AG96)),INDIRECT("für_Einstufung!"&amp;AN$1&amp;$AG96)="n.b."),INDIRECT("für_Einstufung!"&amp;AN$1&amp;$AG96),MID(INDIRECT("für_Einstufung!"&amp;AN$1&amp;$AG96),2,20)*1)</f>
        <v>600</v>
      </c>
      <c r="U96" s="131"/>
      <c r="V96" s="157">
        <f ca="1">IF(OR(ISNUMBER(INDIRECT("für_Einstufung!"&amp;AP$1&amp;$AG96)),INDIRECT("für_Einstufung!"&amp;AP$1&amp;$AG96)="n.b."),INDIRECT("für_Einstufung!"&amp;AP$1&amp;$AG96),MID(INDIRECT("für_Einstufung!"&amp;AP$1&amp;$AG96),2,20)*1)</f>
        <v>600</v>
      </c>
      <c r="W96" s="156"/>
      <c r="X96" s="156"/>
      <c r="Y96" s="156"/>
      <c r="Z96" s="156"/>
      <c r="AA96" s="156"/>
      <c r="AB96" s="156"/>
      <c r="AC96" s="156"/>
      <c r="AD96" s="156"/>
      <c r="AE96" s="156"/>
      <c r="AG96" s="104">
        <v>62</v>
      </c>
      <c r="AH96" s="120" t="str">
        <f ca="1">INDIRECT("für_Einstufung!ai$"&amp;AG96)</f>
        <v>Ni_goL &lt; 1 mm</v>
      </c>
    </row>
    <row r="97" spans="1:34" ht="28.2" hidden="1" outlineLevel="1" thickBot="1" x14ac:dyDescent="0.3">
      <c r="A97" s="139" t="s">
        <v>139</v>
      </c>
      <c r="B97" s="138" t="s">
        <v>138</v>
      </c>
      <c r="C97" s="138" t="s">
        <v>31</v>
      </c>
      <c r="D97" s="137">
        <v>1E-3</v>
      </c>
      <c r="E97" s="136">
        <v>2.5000000000000001E-3</v>
      </c>
      <c r="F97" s="135">
        <v>1</v>
      </c>
      <c r="G97" s="134">
        <f>D97/F97</f>
        <v>1E-3</v>
      </c>
      <c r="H97" s="134">
        <f>G97*E97/D97</f>
        <v>2.5000000000000001E-3</v>
      </c>
      <c r="I97" s="133" t="s">
        <v>96</v>
      </c>
      <c r="J97" s="131">
        <f>ROUND(G97*1000000,-1)</f>
        <v>1000</v>
      </c>
      <c r="K97" s="131">
        <f>ROUND(H97*1000000,-1)</f>
        <v>2500</v>
      </c>
      <c r="L97" s="132">
        <f ca="1">INDIRECT("für_Einstufung!A"&amp;M97)</f>
        <v>0</v>
      </c>
      <c r="M97" s="164">
        <v>59</v>
      </c>
      <c r="N97" s="130">
        <f ca="1">IF(OR(ISNUMBER(INDIRECT("für_Einstufung!"&amp;AH$1&amp;$AG97)),INDIRECT("für_Einstufung!"&amp;AH$1&amp;$AG97)="n.b."),INDIRECT("für_Einstufung!"&amp;AH$1&amp;$AG97),MID(INDIRECT("für_Einstufung!"&amp;AH$1&amp;$AG97),2,20)*1)</f>
        <v>70</v>
      </c>
      <c r="O97" s="131"/>
      <c r="P97" s="131">
        <f ca="1">IF(OR(ISNUMBER(INDIRECT("für_Einstufung!"&amp;AJ$1&amp;$AG97)),INDIRECT("für_Einstufung!"&amp;AJ$1&amp;$AG97)="n.b."),INDIRECT("für_Einstufung!"&amp;AJ$1&amp;$AG97),MID(INDIRECT("für_Einstufung!"&amp;AJ$1&amp;$AG97),2,20)*1)</f>
        <v>640</v>
      </c>
      <c r="Q97" s="131"/>
      <c r="R97" s="131">
        <f ca="1">IF(OR(ISNUMBER(INDIRECT("für_Einstufung!"&amp;AL$1&amp;$AG97)),INDIRECT("für_Einstufung!"&amp;AL$1&amp;$AG97)="n.b."),INDIRECT("für_Einstufung!"&amp;AL$1&amp;$AG97),MID(INDIRECT("für_Einstufung!"&amp;AL$1&amp;$AG97),2,20)*1)</f>
        <v>640</v>
      </c>
      <c r="S97" s="131"/>
      <c r="T97" s="131">
        <f ca="1">IF(OR(ISNUMBER(INDIRECT("für_Einstufung!"&amp;AN$1&amp;$AG97)),INDIRECT("für_Einstufung!"&amp;AN$1&amp;$AG97)="n.b."),INDIRECT("für_Einstufung!"&amp;AN$1&amp;$AG97),MID(INDIRECT("für_Einstufung!"&amp;AN$1&amp;$AG97),2,20)*1)</f>
        <v>640</v>
      </c>
      <c r="U97" s="131"/>
      <c r="V97" s="157">
        <f ca="1">IF(OR(ISNUMBER(INDIRECT("für_Einstufung!"&amp;AP$1&amp;$AG97)),INDIRECT("für_Einstufung!"&amp;AP$1&amp;$AG97)="n.b."),INDIRECT("für_Einstufung!"&amp;AP$1&amp;$AG97),MID(INDIRECT("für_Einstufung!"&amp;AP$1&amp;$AG97),2,20)*1)</f>
        <v>640</v>
      </c>
      <c r="W97" s="191" t="str">
        <f ca="1">IF(OR(N97="Fehler (oder n.b.)",N97="n.b."),"n.b.",IF(N97*0.000001&lt;$G97,"&lt; Bgr.",N97*0.000001/$H97))</f>
        <v>&lt; Bgr.</v>
      </c>
      <c r="X97" s="129"/>
      <c r="Y97" s="191" t="str">
        <f ca="1">IF(OR(P97="Fehler (oder n.b.)",P97="n.b."),"n.b.",IF(P97*0.000001&lt;$G97,"&lt; Bgr.",P97*0.000001/$H97))</f>
        <v>&lt; Bgr.</v>
      </c>
      <c r="Z97" s="129"/>
      <c r="AA97" s="191" t="str">
        <f ca="1">IF(OR(R97="Fehler (oder n.b.)",R97="n.b."),"n.b.",IF(R97*0.000001&lt;$G97,"&lt; Bgr.",R97*0.000001/$H97))</f>
        <v>&lt; Bgr.</v>
      </c>
      <c r="AB97" s="129"/>
      <c r="AC97" s="191" t="str">
        <f ca="1">IF(OR(T97="Fehler (oder n.b.)",T97="n.b."),"n.b.",IF(T97*0.000001&lt;$G97,"&lt; Bgr.",T97*0.000001/$H97))</f>
        <v>&lt; Bgr.</v>
      </c>
      <c r="AD97" s="129"/>
      <c r="AE97" s="191" t="str">
        <f ca="1">IF(OR(V97="Fehler (oder n.b.)",V97="n.b."),"n.b.",IF(V97*0.000001&lt;$G97,"&lt; Bgr.",V97*0.000001/$H97))</f>
        <v>&lt; Bgr.</v>
      </c>
      <c r="AG97" s="104">
        <v>63</v>
      </c>
      <c r="AH97" s="120" t="str">
        <f ca="1">INDIRECT("für_Einstufung!ai$"&amp;AG97)</f>
        <v>Pb_goL &lt; 1 mm</v>
      </c>
    </row>
    <row r="98" spans="1:34" ht="28.2" hidden="1" outlineLevel="1" thickBot="1" x14ac:dyDescent="0.3">
      <c r="A98" s="139" t="s">
        <v>30</v>
      </c>
      <c r="B98" s="138" t="s">
        <v>138</v>
      </c>
      <c r="C98" s="138" t="s">
        <v>30</v>
      </c>
      <c r="D98" s="137">
        <v>1E-3</v>
      </c>
      <c r="E98" s="136">
        <v>2.5000000000000001E-3</v>
      </c>
      <c r="F98" s="135">
        <v>1</v>
      </c>
      <c r="G98" s="134">
        <f>D98/F98</f>
        <v>1E-3</v>
      </c>
      <c r="H98" s="134">
        <f>G98*E98/D98</f>
        <v>2.5000000000000001E-3</v>
      </c>
      <c r="I98" s="133" t="s">
        <v>96</v>
      </c>
      <c r="J98" s="131">
        <f>ROUND(G98*1000000,-1)</f>
        <v>1000</v>
      </c>
      <c r="K98" s="131">
        <f>ROUND(H98*1000000,-1)</f>
        <v>2500</v>
      </c>
      <c r="L98" s="132">
        <f ca="1">INDIRECT("für_Einstufung!A"&amp;M98)</f>
        <v>0</v>
      </c>
      <c r="M98" s="164">
        <v>57</v>
      </c>
      <c r="N98" s="130">
        <f ca="1">IF(OR(ISNUMBER(INDIRECT("für_Einstufung!"&amp;AH$1&amp;$AG98)),INDIRECT("für_Einstufung!"&amp;AH$1&amp;$AG98)="n.b."),INDIRECT("für_Einstufung!"&amp;AH$1&amp;$AG98),MID(INDIRECT("für_Einstufung!"&amp;AH$1&amp;$AG98),2,20)*1)</f>
        <v>80</v>
      </c>
      <c r="O98" s="131"/>
      <c r="P98" s="131">
        <f ca="1">IF(OR(ISNUMBER(INDIRECT("für_Einstufung!"&amp;AJ$1&amp;$AG98)),INDIRECT("für_Einstufung!"&amp;AJ$1&amp;$AG98)="n.b."),INDIRECT("für_Einstufung!"&amp;AJ$1&amp;$AG98),MID(INDIRECT("für_Einstufung!"&amp;AJ$1&amp;$AG98),2,20)*1)</f>
        <v>680</v>
      </c>
      <c r="Q98" s="131"/>
      <c r="R98" s="131">
        <f ca="1">IF(OR(ISNUMBER(INDIRECT("für_Einstufung!"&amp;AL$1&amp;$AG98)),INDIRECT("für_Einstufung!"&amp;AL$1&amp;$AG98)="n.b."),INDIRECT("für_Einstufung!"&amp;AL$1&amp;$AG98),MID(INDIRECT("für_Einstufung!"&amp;AL$1&amp;$AG98),2,20)*1)</f>
        <v>680</v>
      </c>
      <c r="S98" s="131"/>
      <c r="T98" s="131">
        <f ca="1">IF(OR(ISNUMBER(INDIRECT("für_Einstufung!"&amp;AN$1&amp;$AG98)),INDIRECT("für_Einstufung!"&amp;AN$1&amp;$AG98)="n.b."),INDIRECT("für_Einstufung!"&amp;AN$1&amp;$AG98),MID(INDIRECT("für_Einstufung!"&amp;AN$1&amp;$AG98),2,20)*1)</f>
        <v>680</v>
      </c>
      <c r="U98" s="131"/>
      <c r="V98" s="157">
        <f ca="1">IF(OR(ISNUMBER(INDIRECT("für_Einstufung!"&amp;AP$1&amp;$AG98)),INDIRECT("für_Einstufung!"&amp;AP$1&amp;$AG98)="n.b."),INDIRECT("für_Einstufung!"&amp;AP$1&amp;$AG98),MID(INDIRECT("für_Einstufung!"&amp;AP$1&amp;$AG98),2,20)*1)</f>
        <v>680</v>
      </c>
      <c r="W98" s="191" t="str">
        <f ca="1">IF(OR(N98="Fehler (oder n.b.)",N98="n.b."),"n.b.",IF(N98*0.000001&lt;$G98,"&lt; Bgr.",N98*0.000001/$H98))</f>
        <v>&lt; Bgr.</v>
      </c>
      <c r="X98" s="129"/>
      <c r="Y98" s="191" t="str">
        <f ca="1">IF(OR(P98="Fehler (oder n.b.)",P98="n.b."),"n.b.",IF(P98*0.000001&lt;$G98,"&lt; Bgr.",P98*0.000001/$H98))</f>
        <v>&lt; Bgr.</v>
      </c>
      <c r="Z98" s="129"/>
      <c r="AA98" s="191" t="str">
        <f ca="1">IF(OR(R98="Fehler (oder n.b.)",R98="n.b."),"n.b.",IF(R98*0.000001&lt;$G98,"&lt; Bgr.",R98*0.000001/$H98))</f>
        <v>&lt; Bgr.</v>
      </c>
      <c r="AB98" s="129"/>
      <c r="AC98" s="191" t="str">
        <f ca="1">IF(OR(T98="Fehler (oder n.b.)",T98="n.b."),"n.b.",IF(T98*0.000001&lt;$G98,"&lt; Bgr.",T98*0.000001/$H98))</f>
        <v>&lt; Bgr.</v>
      </c>
      <c r="AD98" s="129"/>
      <c r="AE98" s="191" t="str">
        <f ca="1">IF(OR(V98="Fehler (oder n.b.)",V98="n.b."),"n.b.",IF(V98*0.000001&lt;$G98,"&lt; Bgr.",V98*0.000001/$H98))</f>
        <v>&lt; Bgr.</v>
      </c>
      <c r="AG98" s="104">
        <v>64</v>
      </c>
      <c r="AH98" s="120" t="str">
        <f ca="1">INDIRECT("für_Einstufung!ai$"&amp;AG98)</f>
        <v>Zn_goL &lt; 1 mm</v>
      </c>
    </row>
    <row r="99" spans="1:34" s="121" customFormat="1" hidden="1" outlineLevel="1" thickBot="1" x14ac:dyDescent="0.35">
      <c r="A99" s="155" t="s">
        <v>137</v>
      </c>
      <c r="B99" s="153"/>
      <c r="G99" s="154"/>
      <c r="H99" s="154"/>
      <c r="L99" s="153"/>
      <c r="V99" s="124"/>
      <c r="W99" s="123">
        <f t="shared" ref="W99:AE99" ca="1" si="30">SUM(W95:W98)</f>
        <v>0</v>
      </c>
      <c r="X99" s="123">
        <f t="shared" si="30"/>
        <v>0</v>
      </c>
      <c r="Y99" s="123">
        <f t="shared" ca="1" si="30"/>
        <v>0</v>
      </c>
      <c r="Z99" s="123">
        <f t="shared" si="30"/>
        <v>0</v>
      </c>
      <c r="AA99" s="123">
        <f t="shared" ca="1" si="30"/>
        <v>0</v>
      </c>
      <c r="AB99" s="123">
        <f t="shared" si="30"/>
        <v>0</v>
      </c>
      <c r="AC99" s="123">
        <f t="shared" ca="1" si="30"/>
        <v>0</v>
      </c>
      <c r="AD99" s="123">
        <f t="shared" si="30"/>
        <v>0</v>
      </c>
      <c r="AE99" s="123">
        <f t="shared" ca="1" si="30"/>
        <v>0</v>
      </c>
      <c r="AF99" s="93"/>
      <c r="AG99" s="104"/>
      <c r="AH99" s="120"/>
    </row>
    <row r="100" spans="1:34" hidden="1" outlineLevel="1" thickBot="1" x14ac:dyDescent="0.3">
      <c r="A100" s="152" t="s">
        <v>105</v>
      </c>
      <c r="B100" s="151"/>
      <c r="C100" s="151"/>
      <c r="D100" s="150"/>
      <c r="E100" s="149"/>
      <c r="F100" s="148"/>
      <c r="G100" s="147"/>
      <c r="H100" s="147"/>
      <c r="I100" s="146"/>
      <c r="J100" s="146"/>
      <c r="K100" s="146"/>
      <c r="L100" s="145"/>
      <c r="M100" s="144"/>
      <c r="N100" s="144"/>
      <c r="O100" s="144"/>
      <c r="P100" s="144"/>
      <c r="Q100" s="144"/>
      <c r="R100" s="144"/>
      <c r="S100" s="144"/>
      <c r="T100" s="144"/>
      <c r="U100" s="144"/>
      <c r="V100" s="143"/>
      <c r="W100" s="142"/>
      <c r="X100" s="142"/>
      <c r="Y100" s="142"/>
      <c r="Z100" s="142"/>
      <c r="AA100" s="142"/>
      <c r="AB100" s="142"/>
      <c r="AC100" s="142"/>
      <c r="AD100" s="142"/>
      <c r="AE100" s="141"/>
    </row>
    <row r="101" spans="1:34" hidden="1" outlineLevel="1" thickBot="1" x14ac:dyDescent="0.35">
      <c r="A101" s="139" t="s">
        <v>33</v>
      </c>
      <c r="B101" s="151"/>
      <c r="C101" s="151"/>
      <c r="D101" s="150"/>
      <c r="E101" s="149"/>
      <c r="F101" s="148"/>
      <c r="G101" s="149"/>
      <c r="H101" s="149"/>
      <c r="I101" s="146"/>
      <c r="J101" s="146"/>
      <c r="K101" s="146"/>
      <c r="M101" s="113"/>
      <c r="N101" s="130">
        <f ca="1">IF(OR(ISNUMBER(INDIRECT("für_Einstufung!"&amp;AH$1&amp;$AG101)),INDIRECT("für_Einstufung!"&amp;AH$1&amp;$AG101)="n.b."),INDIRECT("für_Einstufung!"&amp;AH$1&amp;$AG101),MID(INDIRECT("für_Einstufung!"&amp;AH$1&amp;$AG101),2,20)*1)</f>
        <v>408</v>
      </c>
      <c r="O101" s="131"/>
      <c r="P101" s="131">
        <f ca="1">IF(OR(ISNUMBER(INDIRECT("für_Einstufung!"&amp;AJ$1&amp;$AG101)),INDIRECT("für_Einstufung!"&amp;AJ$1&amp;$AG101)="n.b."),INDIRECT("für_Einstufung!"&amp;AJ$1&amp;$AG101),MID(INDIRECT("für_Einstufung!"&amp;AJ$1&amp;$AG101),2,20)*1)</f>
        <v>404</v>
      </c>
      <c r="Q101" s="131"/>
      <c r="R101" s="131">
        <f ca="1">IF(OR(ISNUMBER(INDIRECT("für_Einstufung!"&amp;AL$1&amp;$AG101)),INDIRECT("für_Einstufung!"&amp;AL$1&amp;$AG101)="n.b."),INDIRECT("für_Einstufung!"&amp;AL$1&amp;$AG101),MID(INDIRECT("für_Einstufung!"&amp;AL$1&amp;$AG101),2,20)*1)</f>
        <v>404</v>
      </c>
      <c r="S101" s="131"/>
      <c r="T101" s="131">
        <f ca="1">IF(OR(ISNUMBER(INDIRECT("für_Einstufung!"&amp;AN$1&amp;$AG101)),INDIRECT("für_Einstufung!"&amp;AN$1&amp;$AG101)="n.b."),INDIRECT("für_Einstufung!"&amp;AN$1&amp;$AG101),MID(INDIRECT("für_Einstufung!"&amp;AN$1&amp;$AG101),2,20)*1)</f>
        <v>404</v>
      </c>
      <c r="U101" s="131"/>
      <c r="V101" s="157">
        <f ca="1">IF(OR(ISNUMBER(INDIRECT("für_Einstufung!"&amp;AP$1&amp;$AG101)),INDIRECT("für_Einstufung!"&amp;AP$1&amp;$AG101)="n.b."),INDIRECT("für_Einstufung!"&amp;AP$1&amp;$AG101),MID(INDIRECT("für_Einstufung!"&amp;AP$1&amp;$AG101),2,20)*1)</f>
        <v>404</v>
      </c>
      <c r="W101" s="156"/>
      <c r="X101" s="156"/>
      <c r="Y101" s="156"/>
      <c r="Z101" s="156"/>
      <c r="AA101" s="156"/>
      <c r="AB101" s="156"/>
      <c r="AC101" s="156"/>
      <c r="AD101" s="156"/>
      <c r="AE101" s="156"/>
      <c r="AG101" s="104">
        <v>68</v>
      </c>
      <c r="AH101" s="120" t="str">
        <f ca="1">INDIRECT("für_Einstufung!ai$"&amp;AG101)</f>
        <v>Cu_min_ges</v>
      </c>
    </row>
    <row r="102" spans="1:34" hidden="1" outlineLevel="1" thickBot="1" x14ac:dyDescent="0.35">
      <c r="A102" s="139" t="s">
        <v>32</v>
      </c>
      <c r="B102" s="151"/>
      <c r="C102" s="151"/>
      <c r="D102" s="150"/>
      <c r="E102" s="149"/>
      <c r="F102" s="148"/>
      <c r="G102" s="149"/>
      <c r="H102" s="149"/>
      <c r="I102" s="146"/>
      <c r="J102" s="146"/>
      <c r="K102" s="146"/>
      <c r="M102" s="113"/>
      <c r="N102" s="130">
        <f ca="1">IF(OR(ISNUMBER(INDIRECT("für_Einstufung!"&amp;AH$1&amp;$AG102)),INDIRECT("für_Einstufung!"&amp;AH$1&amp;$AG102)="n.b."),INDIRECT("für_Einstufung!"&amp;AH$1&amp;$AG102),MID(INDIRECT("für_Einstufung!"&amp;AH$1&amp;$AG102),2,20)*1)</f>
        <v>680</v>
      </c>
      <c r="O102" s="131"/>
      <c r="P102" s="131">
        <f ca="1">IF(OR(ISNUMBER(INDIRECT("für_Einstufung!"&amp;AJ$1&amp;$AG102)),INDIRECT("für_Einstufung!"&amp;AJ$1&amp;$AG102)="n.b."),INDIRECT("für_Einstufung!"&amp;AJ$1&amp;$AG102),MID(INDIRECT("für_Einstufung!"&amp;AJ$1&amp;$AG102),2,20)*1)</f>
        <v>674</v>
      </c>
      <c r="Q102" s="131"/>
      <c r="R102" s="131">
        <f ca="1">IF(OR(ISNUMBER(INDIRECT("für_Einstufung!"&amp;AL$1&amp;$AG102)),INDIRECT("für_Einstufung!"&amp;AL$1&amp;$AG102)="n.b."),INDIRECT("für_Einstufung!"&amp;AL$1&amp;$AG102),MID(INDIRECT("für_Einstufung!"&amp;AL$1&amp;$AG102),2,20)*1)</f>
        <v>674</v>
      </c>
      <c r="S102" s="131"/>
      <c r="T102" s="131">
        <f ca="1">IF(OR(ISNUMBER(INDIRECT("für_Einstufung!"&amp;AN$1&amp;$AG102)),INDIRECT("für_Einstufung!"&amp;AN$1&amp;$AG102)="n.b."),INDIRECT("für_Einstufung!"&amp;AN$1&amp;$AG102),MID(INDIRECT("für_Einstufung!"&amp;AN$1&amp;$AG102),2,20)*1)</f>
        <v>674</v>
      </c>
      <c r="U102" s="131"/>
      <c r="V102" s="157">
        <f ca="1">IF(OR(ISNUMBER(INDIRECT("für_Einstufung!"&amp;AP$1&amp;$AG102)),INDIRECT("für_Einstufung!"&amp;AP$1&amp;$AG102)="n.b."),INDIRECT("für_Einstufung!"&amp;AP$1&amp;$AG102),MID(INDIRECT("für_Einstufung!"&amp;AP$1&amp;$AG102),2,20)*1)</f>
        <v>674</v>
      </c>
      <c r="W102" s="156"/>
      <c r="X102" s="156"/>
      <c r="Y102" s="156"/>
      <c r="Z102" s="156"/>
      <c r="AA102" s="156"/>
      <c r="AB102" s="156"/>
      <c r="AC102" s="156"/>
      <c r="AD102" s="156"/>
      <c r="AE102" s="156"/>
      <c r="AG102" s="104">
        <v>69</v>
      </c>
      <c r="AH102" s="120" t="str">
        <f ca="1">INDIRECT("für_Einstufung!ai$"&amp;AG102)</f>
        <v>Ni_min_ges</v>
      </c>
    </row>
    <row r="103" spans="1:34" hidden="1" outlineLevel="1" thickBot="1" x14ac:dyDescent="0.35">
      <c r="A103" s="139" t="s">
        <v>31</v>
      </c>
      <c r="B103" s="151"/>
      <c r="C103" s="151"/>
      <c r="D103" s="150"/>
      <c r="E103" s="149"/>
      <c r="F103" s="148"/>
      <c r="G103" s="149"/>
      <c r="H103" s="149"/>
      <c r="I103" s="146"/>
      <c r="J103" s="146"/>
      <c r="K103" s="146"/>
      <c r="M103" s="113"/>
      <c r="N103" s="130">
        <f ca="1">IF(OR(ISNUMBER(INDIRECT("für_Einstufung!"&amp;AH$1&amp;$AG103)),INDIRECT("für_Einstufung!"&amp;AH$1&amp;$AG103)="n.b."),INDIRECT("für_Einstufung!"&amp;AH$1&amp;$AG103),MID(INDIRECT("für_Einstufung!"&amp;AH$1&amp;$AG103),2,20)*1)</f>
        <v>771</v>
      </c>
      <c r="O103" s="131"/>
      <c r="P103" s="131">
        <f ca="1">IF(OR(ISNUMBER(INDIRECT("für_Einstufung!"&amp;AJ$1&amp;$AG103)),INDIRECT("für_Einstufung!"&amp;AJ$1&amp;$AG103)="n.b."),INDIRECT("für_Einstufung!"&amp;AJ$1&amp;$AG103),MID(INDIRECT("für_Einstufung!"&amp;AJ$1&amp;$AG103),2,20)*1)</f>
        <v>763</v>
      </c>
      <c r="Q103" s="131"/>
      <c r="R103" s="131">
        <f ca="1">IF(OR(ISNUMBER(INDIRECT("für_Einstufung!"&amp;AL$1&amp;$AG103)),INDIRECT("für_Einstufung!"&amp;AL$1&amp;$AG103)="n.b."),INDIRECT("für_Einstufung!"&amp;AL$1&amp;$AG103),MID(INDIRECT("für_Einstufung!"&amp;AL$1&amp;$AG103),2,20)*1)</f>
        <v>763</v>
      </c>
      <c r="S103" s="131"/>
      <c r="T103" s="131">
        <f ca="1">IF(OR(ISNUMBER(INDIRECT("für_Einstufung!"&amp;AN$1&amp;$AG103)),INDIRECT("für_Einstufung!"&amp;AN$1&amp;$AG103)="n.b."),INDIRECT("für_Einstufung!"&amp;AN$1&amp;$AG103),MID(INDIRECT("für_Einstufung!"&amp;AN$1&amp;$AG103),2,20)*1)</f>
        <v>763</v>
      </c>
      <c r="U103" s="131"/>
      <c r="V103" s="157">
        <f ca="1">IF(OR(ISNUMBER(INDIRECT("für_Einstufung!"&amp;AP$1&amp;$AG103)),INDIRECT("für_Einstufung!"&amp;AP$1&amp;$AG103)="n.b."),INDIRECT("für_Einstufung!"&amp;AP$1&amp;$AG103),MID(INDIRECT("für_Einstufung!"&amp;AP$1&amp;$AG103),2,20)*1)</f>
        <v>763</v>
      </c>
      <c r="W103" s="156"/>
      <c r="X103" s="156"/>
      <c r="Y103" s="156"/>
      <c r="Z103" s="156"/>
      <c r="AA103" s="156"/>
      <c r="AB103" s="156"/>
      <c r="AC103" s="156"/>
      <c r="AD103" s="156"/>
      <c r="AE103" s="156"/>
      <c r="AG103" s="104">
        <v>70</v>
      </c>
      <c r="AH103" s="120" t="str">
        <f ca="1">INDIRECT("für_Einstufung!ai$"&amp;AG103)</f>
        <v>Pb_min_ges</v>
      </c>
    </row>
    <row r="104" spans="1:34" hidden="1" outlineLevel="1" thickBot="1" x14ac:dyDescent="0.35">
      <c r="A104" s="139" t="s">
        <v>30</v>
      </c>
      <c r="B104" s="151"/>
      <c r="C104" s="151"/>
      <c r="D104" s="150"/>
      <c r="E104" s="149"/>
      <c r="F104" s="148"/>
      <c r="G104" s="149"/>
      <c r="H104" s="149"/>
      <c r="I104" s="146"/>
      <c r="J104" s="146"/>
      <c r="K104" s="146"/>
      <c r="M104" s="113"/>
      <c r="N104" s="130">
        <f ca="1">IF(OR(ISNUMBER(INDIRECT("für_Einstufung!"&amp;AH$1&amp;$AG104)),INDIRECT("für_Einstufung!"&amp;AH$1&amp;$AG104)="n.b."),INDIRECT("für_Einstufung!"&amp;AH$1&amp;$AG104),MID(INDIRECT("für_Einstufung!"&amp;AH$1&amp;$AG104),2,20)*1)</f>
        <v>1130</v>
      </c>
      <c r="O104" s="131"/>
      <c r="P104" s="131">
        <f ca="1">IF(OR(ISNUMBER(INDIRECT("für_Einstufung!"&amp;AJ$1&amp;$AG104)),INDIRECT("für_Einstufung!"&amp;AJ$1&amp;$AG104)="n.b."),INDIRECT("für_Einstufung!"&amp;AJ$1&amp;$AG104),MID(INDIRECT("für_Einstufung!"&amp;AJ$1&amp;$AG104),2,20)*1)</f>
        <v>1120</v>
      </c>
      <c r="Q104" s="131"/>
      <c r="R104" s="131">
        <f ca="1">IF(OR(ISNUMBER(INDIRECT("für_Einstufung!"&amp;AL$1&amp;$AG104)),INDIRECT("für_Einstufung!"&amp;AL$1&amp;$AG104)="n.b."),INDIRECT("für_Einstufung!"&amp;AL$1&amp;$AG104),MID(INDIRECT("für_Einstufung!"&amp;AL$1&amp;$AG104),2,20)*1)</f>
        <v>1120</v>
      </c>
      <c r="S104" s="131"/>
      <c r="T104" s="131">
        <f ca="1">IF(OR(ISNUMBER(INDIRECT("für_Einstufung!"&amp;AN$1&amp;$AG104)),INDIRECT("für_Einstufung!"&amp;AN$1&amp;$AG104)="n.b."),INDIRECT("für_Einstufung!"&amp;AN$1&amp;$AG104),MID(INDIRECT("für_Einstufung!"&amp;AN$1&amp;$AG104),2,20)*1)</f>
        <v>1120</v>
      </c>
      <c r="U104" s="131"/>
      <c r="V104" s="157">
        <f ca="1">IF(OR(ISNUMBER(INDIRECT("für_Einstufung!"&amp;AP$1&amp;$AG104)),INDIRECT("für_Einstufung!"&amp;AP$1&amp;$AG104)="n.b."),INDIRECT("für_Einstufung!"&amp;AP$1&amp;$AG104),MID(INDIRECT("für_Einstufung!"&amp;AP$1&amp;$AG104),2,20)*1)</f>
        <v>1120</v>
      </c>
      <c r="W104" s="156"/>
      <c r="X104" s="156"/>
      <c r="Y104" s="156"/>
      <c r="Z104" s="156"/>
      <c r="AA104" s="156"/>
      <c r="AB104" s="156"/>
      <c r="AC104" s="156"/>
      <c r="AD104" s="156"/>
      <c r="AE104" s="156"/>
      <c r="AG104" s="104">
        <v>71</v>
      </c>
      <c r="AH104" s="120" t="str">
        <f ca="1">INDIRECT("für_Einstufung!ai$"&amp;AG104)</f>
        <v>Zn_min_ges</v>
      </c>
    </row>
    <row r="105" spans="1:34" hidden="1" outlineLevel="1" thickBot="1" x14ac:dyDescent="0.3">
      <c r="A105" s="152" t="s">
        <v>136</v>
      </c>
      <c r="B105" s="151"/>
      <c r="C105" s="151"/>
      <c r="D105" s="150"/>
      <c r="E105" s="149"/>
      <c r="F105" s="148"/>
      <c r="G105" s="149"/>
      <c r="H105" s="149"/>
      <c r="I105" s="146"/>
      <c r="J105" s="146"/>
      <c r="K105" s="146"/>
      <c r="L105" s="145"/>
      <c r="M105" s="144"/>
      <c r="N105" s="144"/>
      <c r="O105" s="144"/>
      <c r="P105" s="144"/>
      <c r="Q105" s="144"/>
      <c r="R105" s="144"/>
      <c r="S105" s="144"/>
      <c r="T105" s="144"/>
      <c r="U105" s="144"/>
      <c r="V105" s="143"/>
      <c r="W105" s="142"/>
      <c r="X105" s="142"/>
      <c r="Y105" s="142"/>
      <c r="Z105" s="142"/>
      <c r="AA105" s="142"/>
      <c r="AB105" s="142"/>
      <c r="AC105" s="142"/>
      <c r="AD105" s="142"/>
      <c r="AE105" s="141"/>
    </row>
    <row r="106" spans="1:34" ht="28.2" hidden="1" outlineLevel="1" thickBot="1" x14ac:dyDescent="0.3">
      <c r="A106" s="139" t="s">
        <v>33</v>
      </c>
      <c r="B106" s="138" t="s">
        <v>103</v>
      </c>
      <c r="C106" s="151" t="str">
        <f>A106</f>
        <v>Cu</v>
      </c>
      <c r="D106" s="150"/>
      <c r="E106" s="149"/>
      <c r="F106" s="148"/>
      <c r="G106" s="149"/>
      <c r="H106" s="149"/>
      <c r="I106" s="146"/>
      <c r="J106" s="146"/>
      <c r="K106" s="146"/>
      <c r="L106" s="145"/>
      <c r="M106" s="144"/>
      <c r="N106" s="130">
        <f t="shared" ref="N106:V106" ca="1" si="31">IFERROR(N101*0.7,"n.b.")</f>
        <v>285.59999999999997</v>
      </c>
      <c r="O106" s="130">
        <f t="shared" si="31"/>
        <v>0</v>
      </c>
      <c r="P106" s="130">
        <f t="shared" ca="1" si="31"/>
        <v>282.79999999999995</v>
      </c>
      <c r="Q106" s="130">
        <f t="shared" si="31"/>
        <v>0</v>
      </c>
      <c r="R106" s="130">
        <f t="shared" ca="1" si="31"/>
        <v>282.79999999999995</v>
      </c>
      <c r="S106" s="130">
        <f t="shared" si="31"/>
        <v>0</v>
      </c>
      <c r="T106" s="130">
        <f t="shared" ca="1" si="31"/>
        <v>282.79999999999995</v>
      </c>
      <c r="U106" s="130">
        <f t="shared" si="31"/>
        <v>0</v>
      </c>
      <c r="V106" s="130">
        <f t="shared" ca="1" si="31"/>
        <v>282.79999999999995</v>
      </c>
      <c r="W106" s="156"/>
      <c r="X106" s="156"/>
      <c r="Y106" s="156"/>
      <c r="Z106" s="156"/>
      <c r="AA106" s="156"/>
      <c r="AB106" s="156"/>
      <c r="AC106" s="156"/>
      <c r="AD106" s="156"/>
      <c r="AE106" s="156"/>
      <c r="AG106" s="104">
        <v>74</v>
      </c>
      <c r="AH106" s="120" t="str">
        <f ca="1">INDIRECT("für_Einstufung!ai$"&amp;AG106)</f>
        <v>Cu_Stoffgr. 1</v>
      </c>
    </row>
    <row r="107" spans="1:34" ht="28.2" hidden="1" outlineLevel="1" thickBot="1" x14ac:dyDescent="0.3">
      <c r="A107" s="139" t="s">
        <v>32</v>
      </c>
      <c r="B107" s="138" t="s">
        <v>103</v>
      </c>
      <c r="C107" s="151" t="str">
        <f>A107</f>
        <v>Ni</v>
      </c>
      <c r="D107" s="150"/>
      <c r="E107" s="149"/>
      <c r="F107" s="148"/>
      <c r="G107" s="149"/>
      <c r="H107" s="149"/>
      <c r="I107" s="146"/>
      <c r="J107" s="146"/>
      <c r="K107" s="146"/>
      <c r="L107" s="145"/>
      <c r="M107" s="144"/>
      <c r="N107" s="130">
        <f t="shared" ref="N107:V107" ca="1" si="32">IFERROR(N103*0.6,"n.b.")</f>
        <v>462.59999999999997</v>
      </c>
      <c r="O107" s="130">
        <f t="shared" si="32"/>
        <v>0</v>
      </c>
      <c r="P107" s="130">
        <f t="shared" ca="1" si="32"/>
        <v>457.8</v>
      </c>
      <c r="Q107" s="130">
        <f t="shared" si="32"/>
        <v>0</v>
      </c>
      <c r="R107" s="130">
        <f t="shared" ca="1" si="32"/>
        <v>457.8</v>
      </c>
      <c r="S107" s="130">
        <f t="shared" si="32"/>
        <v>0</v>
      </c>
      <c r="T107" s="130">
        <f t="shared" ca="1" si="32"/>
        <v>457.8</v>
      </c>
      <c r="U107" s="130">
        <f t="shared" si="32"/>
        <v>0</v>
      </c>
      <c r="V107" s="130">
        <f t="shared" ca="1" si="32"/>
        <v>457.8</v>
      </c>
      <c r="W107" s="156"/>
      <c r="X107" s="156"/>
      <c r="Y107" s="156"/>
      <c r="Z107" s="156"/>
      <c r="AA107" s="156"/>
      <c r="AB107" s="156"/>
      <c r="AC107" s="156"/>
      <c r="AD107" s="156"/>
      <c r="AE107" s="156"/>
      <c r="AG107" s="104">
        <v>75</v>
      </c>
      <c r="AH107" s="120" t="str">
        <f ca="1">INDIRECT("für_Einstufung!ai$"&amp;AG107)</f>
        <v>Ni_Stoffgr. 1</v>
      </c>
    </row>
    <row r="108" spans="1:34" ht="28.2" hidden="1" outlineLevel="1" thickBot="1" x14ac:dyDescent="0.3">
      <c r="A108" s="139" t="s">
        <v>31</v>
      </c>
      <c r="B108" s="138" t="s">
        <v>103</v>
      </c>
      <c r="C108" s="138" t="s">
        <v>31</v>
      </c>
      <c r="D108" s="137">
        <v>1E-3</v>
      </c>
      <c r="E108" s="136">
        <v>2.5000000000000001E-3</v>
      </c>
      <c r="F108" s="135">
        <v>1</v>
      </c>
      <c r="G108" s="134">
        <f>D108/F108</f>
        <v>1E-3</v>
      </c>
      <c r="H108" s="134">
        <f>G108*E108/D108</f>
        <v>2.5000000000000001E-3</v>
      </c>
      <c r="I108" s="133" t="s">
        <v>96</v>
      </c>
      <c r="J108" s="131">
        <f>ROUND(G108*1000000,-1)</f>
        <v>1000</v>
      </c>
      <c r="K108" s="131">
        <f>ROUND(H108*1000000,-1)</f>
        <v>2500</v>
      </c>
      <c r="L108" s="132">
        <f ca="1">INDIRECT("für_Einstufung!A"&amp;M108)</f>
        <v>0</v>
      </c>
      <c r="M108" s="131">
        <v>68</v>
      </c>
      <c r="N108" s="130">
        <f ca="1">IF(OR(ISNUMBER(INDIRECT("für_Einstufung!"&amp;AH$1&amp;$AG108)),INDIRECT("für_Einstufung!"&amp;AH$1&amp;$AG108)="n.b."),INDIRECT("für_Einstufung!"&amp;AH$1&amp;$AG108),MID(INDIRECT("für_Einstufung!"&amp;AH$1&amp;$AG108),2,20)*1)</f>
        <v>308</v>
      </c>
      <c r="O108" s="131"/>
      <c r="P108" s="131">
        <f ca="1">IF(OR(ISNUMBER(INDIRECT("für_Einstufung!"&amp;AJ$1&amp;$AG108)),INDIRECT("für_Einstufung!"&amp;AJ$1&amp;$AG108)="n.b."),INDIRECT("für_Einstufung!"&amp;AJ$1&amp;$AG108),MID(INDIRECT("für_Einstufung!"&amp;AJ$1&amp;$AG108),2,20)*1)</f>
        <v>305</v>
      </c>
      <c r="Q108" s="131"/>
      <c r="R108" s="131">
        <f ca="1">IF(OR(ISNUMBER(INDIRECT("für_Einstufung!"&amp;AL$1&amp;$AG108)),INDIRECT("für_Einstufung!"&amp;AL$1&amp;$AG108)="n.b."),INDIRECT("für_Einstufung!"&amp;AL$1&amp;$AG108),MID(INDIRECT("für_Einstufung!"&amp;AL$1&amp;$AG108),2,20)*1)</f>
        <v>305</v>
      </c>
      <c r="S108" s="131"/>
      <c r="T108" s="131">
        <f ca="1">IF(OR(ISNUMBER(INDIRECT("für_Einstufung!"&amp;AN$1&amp;$AG108)),INDIRECT("für_Einstufung!"&amp;AN$1&amp;$AG108)="n.b."),INDIRECT("für_Einstufung!"&amp;AN$1&amp;$AG108),MID(INDIRECT("für_Einstufung!"&amp;AN$1&amp;$AG108),2,20)*1)</f>
        <v>305</v>
      </c>
      <c r="U108" s="131"/>
      <c r="V108" s="157">
        <f ca="1">IF(OR(ISNUMBER(INDIRECT("für_Einstufung!"&amp;AP$1&amp;$AG108)),INDIRECT("für_Einstufung!"&amp;AP$1&amp;$AG108)="n.b."),INDIRECT("für_Einstufung!"&amp;AP$1&amp;$AG108),MID(INDIRECT("für_Einstufung!"&amp;AP$1&amp;$AG108),2,20)*1)</f>
        <v>305</v>
      </c>
      <c r="W108" s="140" t="str">
        <f ca="1">IF(N108="n.b.","n.b.",IF(N108*0.000001&lt;$G108,"&lt; Bgr.",N108*0.000001/$H108))</f>
        <v>&lt; Bgr.</v>
      </c>
      <c r="X108" s="140"/>
      <c r="Y108" s="140" t="str">
        <f ca="1">IF(P108="n.b.","n.b.",IF(P108*0.000001&lt;$G108,"&lt; Bgr.",P108*0.000001/$H108))</f>
        <v>&lt; Bgr.</v>
      </c>
      <c r="Z108" s="140"/>
      <c r="AA108" s="140" t="str">
        <f ca="1">IF(R108="n.b.","n.b.",IF(R108*0.000001&lt;$G108,"&lt; Bgr.",R108*0.000001/$H108))</f>
        <v>&lt; Bgr.</v>
      </c>
      <c r="AB108" s="140"/>
      <c r="AC108" s="140" t="str">
        <f ca="1">IF(T108="n.b.","n.b.",IF(T108*0.000001&lt;$G108,"&lt; Bgr.",T108*0.000001/$H108))</f>
        <v>&lt; Bgr.</v>
      </c>
      <c r="AD108" s="140"/>
      <c r="AE108" s="140" t="str">
        <f ca="1">IF(V108="n.b.","n.b.",IF(V108*0.000001&lt;$G108,"&lt; Bgr.",V108*0.000001/$H108))</f>
        <v>&lt; Bgr.</v>
      </c>
      <c r="AG108" s="104">
        <v>76</v>
      </c>
      <c r="AH108" s="120" t="str">
        <f ca="1">INDIRECT("für_Einstufung!ai$"&amp;AG108)</f>
        <v>Pb_Stoffgr. 1</v>
      </c>
    </row>
    <row r="109" spans="1:34" ht="28.2" hidden="1" outlineLevel="1" thickBot="1" x14ac:dyDescent="0.3">
      <c r="A109" s="139" t="s">
        <v>30</v>
      </c>
      <c r="B109" s="138" t="s">
        <v>103</v>
      </c>
      <c r="C109" s="151" t="str">
        <f>A109</f>
        <v>Zn</v>
      </c>
      <c r="D109" s="150"/>
      <c r="E109" s="149"/>
      <c r="F109" s="148"/>
      <c r="G109" s="149"/>
      <c r="H109" s="149"/>
      <c r="I109" s="146"/>
      <c r="J109" s="146"/>
      <c r="K109" s="146"/>
      <c r="L109" s="145"/>
      <c r="M109" s="144"/>
      <c r="N109" s="130">
        <f t="shared" ref="N109:V109" ca="1" si="33">IFERROR(N102*0.5,"n.b.")</f>
        <v>340</v>
      </c>
      <c r="O109" s="130">
        <f t="shared" si="33"/>
        <v>0</v>
      </c>
      <c r="P109" s="130">
        <f t="shared" ca="1" si="33"/>
        <v>337</v>
      </c>
      <c r="Q109" s="130">
        <f t="shared" si="33"/>
        <v>0</v>
      </c>
      <c r="R109" s="130">
        <f t="shared" ca="1" si="33"/>
        <v>337</v>
      </c>
      <c r="S109" s="130">
        <f t="shared" si="33"/>
        <v>0</v>
      </c>
      <c r="T109" s="130">
        <f t="shared" ca="1" si="33"/>
        <v>337</v>
      </c>
      <c r="U109" s="130">
        <f t="shared" si="33"/>
        <v>0</v>
      </c>
      <c r="V109" s="130">
        <f t="shared" ca="1" si="33"/>
        <v>337</v>
      </c>
      <c r="W109" s="156"/>
      <c r="X109" s="156"/>
      <c r="Y109" s="156"/>
      <c r="Z109" s="156"/>
      <c r="AA109" s="156"/>
      <c r="AB109" s="156"/>
      <c r="AC109" s="156"/>
      <c r="AD109" s="156"/>
      <c r="AE109" s="156"/>
      <c r="AG109" s="104">
        <v>77</v>
      </c>
      <c r="AH109" s="120" t="str">
        <f ca="1">INDIRECT("für_Einstufung!ai$"&amp;AG109)</f>
        <v>Zn_Stoffgr. 1</v>
      </c>
    </row>
    <row r="110" spans="1:34" s="121" customFormat="1" hidden="1" outlineLevel="1" thickBot="1" x14ac:dyDescent="0.35">
      <c r="A110" s="155" t="s">
        <v>102</v>
      </c>
      <c r="B110" s="153"/>
      <c r="G110" s="154"/>
      <c r="H110" s="154"/>
      <c r="L110" s="153"/>
      <c r="V110" s="124"/>
      <c r="W110" s="123">
        <f ca="1">SUM(W108:W108)</f>
        <v>0</v>
      </c>
      <c r="X110" s="122"/>
      <c r="Y110" s="122">
        <f ca="1">SUM(Y108:Y108)</f>
        <v>0</v>
      </c>
      <c r="Z110" s="122"/>
      <c r="AA110" s="122">
        <f ca="1">SUM(AA108:AA108)</f>
        <v>0</v>
      </c>
      <c r="AB110" s="122"/>
      <c r="AC110" s="122">
        <f ca="1">SUM(AC108:AC108)</f>
        <v>0</v>
      </c>
      <c r="AD110" s="122"/>
      <c r="AE110" s="122">
        <f ca="1">SUM(AE108:AE108)</f>
        <v>0</v>
      </c>
      <c r="AF110" s="93"/>
      <c r="AG110" s="104"/>
      <c r="AH110" s="120"/>
    </row>
    <row r="111" spans="1:34" hidden="1" outlineLevel="1" thickBot="1" x14ac:dyDescent="0.3">
      <c r="A111" s="152" t="s">
        <v>135</v>
      </c>
      <c r="B111" s="151"/>
      <c r="C111" s="151"/>
      <c r="D111" s="150"/>
      <c r="E111" s="149"/>
      <c r="F111" s="148"/>
      <c r="G111" s="147"/>
      <c r="H111" s="147"/>
      <c r="I111" s="146"/>
      <c r="J111" s="146"/>
      <c r="K111" s="146"/>
      <c r="L111" s="145"/>
      <c r="M111" s="144"/>
      <c r="N111" s="144"/>
      <c r="O111" s="144"/>
      <c r="P111" s="144"/>
      <c r="Q111" s="144"/>
      <c r="R111" s="144"/>
      <c r="S111" s="144"/>
      <c r="T111" s="144"/>
      <c r="U111" s="144"/>
      <c r="V111" s="143"/>
      <c r="W111" s="142"/>
      <c r="X111" s="142"/>
      <c r="Y111" s="142"/>
      <c r="Z111" s="142"/>
      <c r="AA111" s="142"/>
      <c r="AB111" s="142"/>
      <c r="AC111" s="142"/>
      <c r="AD111" s="142"/>
      <c r="AE111" s="141"/>
    </row>
    <row r="112" spans="1:34" ht="28.2" hidden="1" outlineLevel="1" thickBot="1" x14ac:dyDescent="0.3">
      <c r="A112" s="139" t="s">
        <v>33</v>
      </c>
      <c r="B112" s="138" t="s">
        <v>98</v>
      </c>
      <c r="C112" s="138" t="s">
        <v>100</v>
      </c>
      <c r="D112" s="137">
        <v>1E-3</v>
      </c>
      <c r="E112" s="136">
        <v>2.5000000000000001E-3</v>
      </c>
      <c r="F112" s="135">
        <v>1.754</v>
      </c>
      <c r="G112" s="134">
        <f>D112/F112</f>
        <v>5.7012542759407071E-4</v>
      </c>
      <c r="H112" s="134">
        <f>G112*E112/D112</f>
        <v>1.4253135689851768E-3</v>
      </c>
      <c r="I112" s="133" t="s">
        <v>96</v>
      </c>
      <c r="J112" s="131">
        <f>ROUND(G112*1000000,0)</f>
        <v>570</v>
      </c>
      <c r="K112" s="131">
        <f>ROUND(H112*1000000,-1)</f>
        <v>1430</v>
      </c>
      <c r="L112" s="132">
        <f ca="1">INDIRECT("für_Einstufung!A"&amp;M112)</f>
        <v>0</v>
      </c>
      <c r="M112" s="131">
        <v>70</v>
      </c>
      <c r="N112" s="130">
        <f ca="1">IF(OR(ISNUMBER(INDIRECT("für_Einstufung!"&amp;AH$1&amp;$AG112)),INDIRECT("für_Einstufung!"&amp;AH$1&amp;$AG112)="n.b."),INDIRECT("für_Einstufung!"&amp;AH$1&amp;$AG112),MID(INDIRECT("für_Einstufung!"&amp;AH$1&amp;$AG112),2,20)*1)</f>
        <v>108</v>
      </c>
      <c r="O112" s="131"/>
      <c r="P112" s="131">
        <f ca="1">IF(OR(ISNUMBER(INDIRECT("für_Einstufung!"&amp;AJ$1&amp;$AG112)),INDIRECT("für_Einstufung!"&amp;AJ$1&amp;$AG112)="n.b."),INDIRECT("für_Einstufung!"&amp;AJ$1&amp;$AG112),MID(INDIRECT("für_Einstufung!"&amp;AJ$1&amp;$AG112),2,20)*1)</f>
        <v>111</v>
      </c>
      <c r="Q112" s="131"/>
      <c r="R112" s="131">
        <f ca="1">IF(OR(ISNUMBER(INDIRECT("für_Einstufung!"&amp;AL$1&amp;$AG112)),INDIRECT("für_Einstufung!"&amp;AL$1&amp;$AG112)="n.b."),INDIRECT("für_Einstufung!"&amp;AL$1&amp;$AG112),MID(INDIRECT("für_Einstufung!"&amp;AL$1&amp;$AG112),2,20)*1)</f>
        <v>111</v>
      </c>
      <c r="S112" s="131"/>
      <c r="T112" s="131">
        <f ca="1">IF(OR(ISNUMBER(INDIRECT("für_Einstufung!"&amp;AN$1&amp;$AG112)),INDIRECT("für_Einstufung!"&amp;AN$1&amp;$AG112)="n.b."),INDIRECT("für_Einstufung!"&amp;AN$1&amp;$AG112),MID(INDIRECT("für_Einstufung!"&amp;AN$1&amp;$AG112),2,20)*1)</f>
        <v>111</v>
      </c>
      <c r="U112" s="131"/>
      <c r="V112" s="157">
        <f ca="1">IF(OR(ISNUMBER(INDIRECT("für_Einstufung!"&amp;AP$1&amp;$AG112)),INDIRECT("für_Einstufung!"&amp;AP$1&amp;$AG112)="n.b."),INDIRECT("für_Einstufung!"&amp;AP$1&amp;$AG112),MID(INDIRECT("für_Einstufung!"&amp;AP$1&amp;$AG112),2,20)*1)</f>
        <v>107</v>
      </c>
      <c r="W112" s="140" t="str">
        <f ca="1">IF(N112="n.b.","n.b.",IF(N112*0.000001&lt;$G112,"&lt; Bgr.",N112*0.000001/$H112))</f>
        <v>&lt; Bgr.</v>
      </c>
      <c r="X112" s="140"/>
      <c r="Y112" s="140" t="str">
        <f ca="1">IF(P112="n.b.","n.b.",IF(P112*0.000001&lt;$G112,"&lt; Bgr.",P112*0.000001/$H112))</f>
        <v>&lt; Bgr.</v>
      </c>
      <c r="Z112" s="140"/>
      <c r="AA112" s="140" t="str">
        <f ca="1">IF(R112="n.b.","n.b.",IF(R112*0.000001&lt;$G112,"&lt; Bgr.",R112*0.000001/$H112))</f>
        <v>&lt; Bgr.</v>
      </c>
      <c r="AB112" s="140"/>
      <c r="AC112" s="140" t="str">
        <f ca="1">IF(T112="n.b.","n.b.",IF(T112*0.000001&lt;$G112,"&lt; Bgr.",T112*0.000001/$H112))</f>
        <v>&lt; Bgr.</v>
      </c>
      <c r="AD112" s="140"/>
      <c r="AE112" s="140" t="str">
        <f ca="1">IF(V112="n.b.","n.b.",IF(V112*0.000001&lt;$G112,"&lt; Bgr.",V112*0.000001/$H112))</f>
        <v>&lt; Bgr.</v>
      </c>
      <c r="AG112" s="104">
        <v>79</v>
      </c>
      <c r="AH112" s="120" t="str">
        <f ca="1">INDIRECT("für_Einstufung!ai$"&amp;AG112)</f>
        <v>Cu_Stoffgr. 2</v>
      </c>
    </row>
    <row r="113" spans="1:34" ht="28.2" hidden="1" outlineLevel="1" thickBot="1" x14ac:dyDescent="0.3">
      <c r="A113" s="139" t="s">
        <v>32</v>
      </c>
      <c r="B113" s="138" t="s">
        <v>98</v>
      </c>
      <c r="C113" s="138" t="s">
        <v>99</v>
      </c>
      <c r="D113" s="137">
        <v>1E-3</v>
      </c>
      <c r="E113" s="136">
        <v>2.5000000000000001E-3</v>
      </c>
      <c r="F113" s="135">
        <v>2.0219999999999998</v>
      </c>
      <c r="G113" s="134">
        <f>D113/F113</f>
        <v>4.9455984174085073E-4</v>
      </c>
      <c r="H113" s="134">
        <f>G113*E113/D113</f>
        <v>1.2363996043521267E-3</v>
      </c>
      <c r="I113" s="133" t="s">
        <v>96</v>
      </c>
      <c r="J113" s="131">
        <f>ROUND(G113*1000000,0)</f>
        <v>495</v>
      </c>
      <c r="K113" s="131">
        <f>ROUND(H113*1000000,-1)</f>
        <v>1240</v>
      </c>
      <c r="L113" s="132">
        <f ca="1">INDIRECT("für_Einstufung!A"&amp;M113)</f>
        <v>0</v>
      </c>
      <c r="M113" s="131">
        <v>72</v>
      </c>
      <c r="N113" s="130">
        <f ca="1">IF(OR(ISNUMBER(INDIRECT("für_Einstufung!"&amp;AH$1&amp;$AG113)),INDIRECT("für_Einstufung!"&amp;AH$1&amp;$AG113)="n.b."),INDIRECT("für_Einstufung!"&amp;AH$1&amp;$AG113),MID(INDIRECT("für_Einstufung!"&amp;AH$1&amp;$AG113),2,20)*1)</f>
        <v>262</v>
      </c>
      <c r="O113" s="131"/>
      <c r="P113" s="131">
        <f ca="1">IF(OR(ISNUMBER(INDIRECT("für_Einstufung!"&amp;AJ$1&amp;$AG113)),INDIRECT("für_Einstufung!"&amp;AJ$1&amp;$AG113)="n.b."),INDIRECT("für_Einstufung!"&amp;AJ$1&amp;$AG113),MID(INDIRECT("für_Einstufung!"&amp;AJ$1&amp;$AG113),2,20)*1)</f>
        <v>255</v>
      </c>
      <c r="Q113" s="131"/>
      <c r="R113" s="131">
        <f ca="1">IF(OR(ISNUMBER(INDIRECT("für_Einstufung!"&amp;AL$1&amp;$AG113)),INDIRECT("für_Einstufung!"&amp;AL$1&amp;$AG113)="n.b."),INDIRECT("für_Einstufung!"&amp;AL$1&amp;$AG113),MID(INDIRECT("für_Einstufung!"&amp;AL$1&amp;$AG113),2,20)*1)</f>
        <v>259</v>
      </c>
      <c r="S113" s="131"/>
      <c r="T113" s="131">
        <f ca="1">IF(OR(ISNUMBER(INDIRECT("für_Einstufung!"&amp;AN$1&amp;$AG113)),INDIRECT("für_Einstufung!"&amp;AN$1&amp;$AG113)="n.b."),INDIRECT("für_Einstufung!"&amp;AN$1&amp;$AG113),MID(INDIRECT("für_Einstufung!"&amp;AN$1&amp;$AG113),2,20)*1)</f>
        <v>259</v>
      </c>
      <c r="U113" s="131"/>
      <c r="V113" s="157">
        <f ca="1">IF(OR(ISNUMBER(INDIRECT("für_Einstufung!"&amp;AP$1&amp;$AG113)),INDIRECT("für_Einstufung!"&amp;AP$1&amp;$AG113)="n.b."),INDIRECT("für_Einstufung!"&amp;AP$1&amp;$AG113),MID(INDIRECT("für_Einstufung!"&amp;AP$1&amp;$AG113),2,20)*1)</f>
        <v>259</v>
      </c>
      <c r="W113" s="140" t="str">
        <f ca="1">IF(N113="n.b.","n.b.",IF(N113*0.000001&lt;$G113,"&lt; Bgr.",N113*0.000001/$H113))</f>
        <v>&lt; Bgr.</v>
      </c>
      <c r="X113" s="140"/>
      <c r="Y113" s="140" t="str">
        <f ca="1">IF(P113="n.b.","n.b.",IF(P113*0.000001&lt;$G113,"&lt; Bgr.",P113*0.000001/$H113))</f>
        <v>&lt; Bgr.</v>
      </c>
      <c r="Z113" s="140"/>
      <c r="AA113" s="140" t="str">
        <f ca="1">IF(R113="n.b.","n.b.",IF(R113*0.000001&lt;$G113,"&lt; Bgr.",R113*0.000001/$H113))</f>
        <v>&lt; Bgr.</v>
      </c>
      <c r="AB113" s="140"/>
      <c r="AC113" s="140" t="str">
        <f ca="1">IF(T113="n.b.","n.b.",IF(T113*0.000001&lt;$G113,"&lt; Bgr.",T113*0.000001/$H113))</f>
        <v>&lt; Bgr.</v>
      </c>
      <c r="AD113" s="140"/>
      <c r="AE113" s="140" t="str">
        <f ca="1">IF(V113="n.b.","n.b.",IF(V113*0.000001&lt;$G113,"&lt; Bgr.",V113*0.000001/$H113))</f>
        <v>&lt; Bgr.</v>
      </c>
      <c r="AG113" s="104">
        <v>80</v>
      </c>
      <c r="AH113" s="120" t="str">
        <f ca="1">INDIRECT("für_Einstufung!ai$"&amp;AG113)</f>
        <v>Ni_Stoffgr. 2</v>
      </c>
    </row>
    <row r="114" spans="1:34" ht="28.2" hidden="1" outlineLevel="1" thickBot="1" x14ac:dyDescent="0.3">
      <c r="A114" s="139" t="s">
        <v>31</v>
      </c>
      <c r="B114" s="138" t="s">
        <v>98</v>
      </c>
      <c r="C114" s="138" t="s">
        <v>31</v>
      </c>
      <c r="D114" s="137">
        <v>1E-3</v>
      </c>
      <c r="E114" s="136">
        <v>2.5000000000000001E-3</v>
      </c>
      <c r="F114" s="135">
        <v>1</v>
      </c>
      <c r="G114" s="134">
        <f>D114/F114</f>
        <v>1E-3</v>
      </c>
      <c r="H114" s="134">
        <f>G114*E114/D114</f>
        <v>2.5000000000000001E-3</v>
      </c>
      <c r="I114" s="133" t="s">
        <v>96</v>
      </c>
      <c r="J114" s="131">
        <f>ROUND(G114*1000000,-1)</f>
        <v>1000</v>
      </c>
      <c r="K114" s="131">
        <f>ROUND(H114*1000000,-1)</f>
        <v>2500</v>
      </c>
      <c r="L114" s="132">
        <f ca="1">INDIRECT("für_Einstufung!A"&amp;M114)</f>
        <v>0</v>
      </c>
      <c r="M114" s="131">
        <v>73</v>
      </c>
      <c r="N114" s="130">
        <f ca="1">IF(OR(ISNUMBER(INDIRECT("für_Einstufung!"&amp;AH$1&amp;$AG114)),INDIRECT("für_Einstufung!"&amp;AH$1&amp;$AG114)="n.b."),INDIRECT("für_Einstufung!"&amp;AH$1&amp;$AG114),MID(INDIRECT("für_Einstufung!"&amp;AH$1&amp;$AG114),2,20)*1)</f>
        <v>452</v>
      </c>
      <c r="O114" s="131"/>
      <c r="P114" s="131">
        <f ca="1">IF(OR(ISNUMBER(INDIRECT("für_Einstufung!"&amp;AJ$1&amp;$AG114)),INDIRECT("für_Einstufung!"&amp;AJ$1&amp;$AG114)="n.b."),INDIRECT("für_Einstufung!"&amp;AJ$1&amp;$AG114),MID(INDIRECT("für_Einstufung!"&amp;AJ$1&amp;$AG114),2,20)*1)</f>
        <v>448</v>
      </c>
      <c r="Q114" s="131"/>
      <c r="R114" s="131">
        <f ca="1">IF(OR(ISNUMBER(INDIRECT("für_Einstufung!"&amp;AL$1&amp;$AG114)),INDIRECT("für_Einstufung!"&amp;AL$1&amp;$AG114)="n.b."),INDIRECT("für_Einstufung!"&amp;AL$1&amp;$AG114),MID(INDIRECT("für_Einstufung!"&amp;AL$1&amp;$AG114),2,20)*1)</f>
        <v>444</v>
      </c>
      <c r="S114" s="131"/>
      <c r="T114" s="131">
        <f ca="1">IF(OR(ISNUMBER(INDIRECT("für_Einstufung!"&amp;AN$1&amp;$AG114)),INDIRECT("für_Einstufung!"&amp;AN$1&amp;$AG114)="n.b."),INDIRECT("für_Einstufung!"&amp;AN$1&amp;$AG114),MID(INDIRECT("für_Einstufung!"&amp;AN$1&amp;$AG114),2,20)*1)</f>
        <v>448</v>
      </c>
      <c r="U114" s="131"/>
      <c r="V114" s="157">
        <f ca="1">IF(OR(ISNUMBER(INDIRECT("für_Einstufung!"&amp;AP$1&amp;$AG114)),INDIRECT("für_Einstufung!"&amp;AP$1&amp;$AG114)="n.b."),INDIRECT("für_Einstufung!"&amp;AP$1&amp;$AG114),MID(INDIRECT("für_Einstufung!"&amp;AP$1&amp;$AG114),2,20)*1)</f>
        <v>448</v>
      </c>
      <c r="W114" s="140" t="str">
        <f ca="1">IF(N114="n.b.","n.b.",IF(N114*0.000001&lt;$G114,"&lt; Bgr.",N114*0.000001/$H114))</f>
        <v>&lt; Bgr.</v>
      </c>
      <c r="X114" s="140"/>
      <c r="Y114" s="140" t="str">
        <f ca="1">IF(P114="n.b.","n.b.",IF(P114*0.000001&lt;$G114,"&lt; Bgr.",P114*0.000001/$H114))</f>
        <v>&lt; Bgr.</v>
      </c>
      <c r="Z114" s="140"/>
      <c r="AA114" s="140" t="str">
        <f ca="1">IF(R114="n.b.","n.b.",IF(R114*0.000001&lt;$G114,"&lt; Bgr.",R114*0.000001/$H114))</f>
        <v>&lt; Bgr.</v>
      </c>
      <c r="AB114" s="140"/>
      <c r="AC114" s="140" t="str">
        <f ca="1">IF(T114="n.b.","n.b.",IF(T114*0.000001&lt;$G114,"&lt; Bgr.",T114*0.000001/$H114))</f>
        <v>&lt; Bgr.</v>
      </c>
      <c r="AD114" s="140"/>
      <c r="AE114" s="140" t="str">
        <f ca="1">IF(V114="n.b.","n.b.",IF(V114*0.000001&lt;$G114,"&lt; Bgr.",V114*0.000001/$H114))</f>
        <v>&lt; Bgr.</v>
      </c>
      <c r="AG114" s="104">
        <v>81</v>
      </c>
      <c r="AH114" s="120" t="str">
        <f ca="1">INDIRECT("für_Einstufung!ai$"&amp;AG114)</f>
        <v>Pb_Stoffgr. 2</v>
      </c>
    </row>
    <row r="115" spans="1:34" ht="28.2" hidden="1" outlineLevel="1" thickBot="1" x14ac:dyDescent="0.3">
      <c r="A115" s="139" t="s">
        <v>30</v>
      </c>
      <c r="B115" s="138" t="s">
        <v>98</v>
      </c>
      <c r="C115" s="138" t="s">
        <v>97</v>
      </c>
      <c r="D115" s="137">
        <v>1E-3</v>
      </c>
      <c r="E115" s="136">
        <v>2.5000000000000001E-3</v>
      </c>
      <c r="F115" s="135">
        <v>1.2450000000000001</v>
      </c>
      <c r="G115" s="134">
        <f>D115/F115</f>
        <v>8.0321285140562242E-4</v>
      </c>
      <c r="H115" s="134">
        <f>G115*E115/D115</f>
        <v>2.008032128514056E-3</v>
      </c>
      <c r="I115" s="133" t="s">
        <v>96</v>
      </c>
      <c r="J115" s="131">
        <f>ROUND(G115*1000000,0)</f>
        <v>803</v>
      </c>
      <c r="K115" s="131">
        <f>ROUND(H115*1000000,-1)</f>
        <v>2010</v>
      </c>
      <c r="L115" s="132">
        <f ca="1">INDIRECT("für_Einstufung!A"&amp;M115)</f>
        <v>0</v>
      </c>
      <c r="M115" s="131">
        <v>71</v>
      </c>
      <c r="N115" s="130">
        <f ca="1">IF(OR(ISNUMBER(INDIRECT("für_Einstufung!"&amp;AH$1&amp;$AG115)),INDIRECT("für_Einstufung!"&amp;AH$1&amp;$AG115)="n.b."),INDIRECT("für_Einstufung!"&amp;AH$1&amp;$AG115),MID(INDIRECT("für_Einstufung!"&amp;AH$1&amp;$AG115),2,20)*1)</f>
        <v>557</v>
      </c>
      <c r="O115" s="131"/>
      <c r="P115" s="131">
        <f ca="1">IF(OR(ISNUMBER(INDIRECT("für_Einstufung!"&amp;AJ$1&amp;$AG115)),INDIRECT("für_Einstufung!"&amp;AJ$1&amp;$AG115)="n.b."),INDIRECT("für_Einstufung!"&amp;AJ$1&amp;$AG115),MID(INDIRECT("für_Einstufung!"&amp;AJ$1&amp;$AG115),2,20)*1)</f>
        <v>551</v>
      </c>
      <c r="Q115" s="131"/>
      <c r="R115" s="131">
        <f ca="1">IF(OR(ISNUMBER(INDIRECT("für_Einstufung!"&amp;AL$1&amp;$AG115)),INDIRECT("für_Einstufung!"&amp;AL$1&amp;$AG115)="n.b."),INDIRECT("für_Einstufung!"&amp;AL$1&amp;$AG115),MID(INDIRECT("für_Einstufung!"&amp;AL$1&amp;$AG115),2,20)*1)</f>
        <v>551</v>
      </c>
      <c r="S115" s="131"/>
      <c r="T115" s="131">
        <f ca="1">IF(OR(ISNUMBER(INDIRECT("für_Einstufung!"&amp;AN$1&amp;$AG115)),INDIRECT("für_Einstufung!"&amp;AN$1&amp;$AG115)="n.b."),INDIRECT("für_Einstufung!"&amp;AN$1&amp;$AG115),MID(INDIRECT("für_Einstufung!"&amp;AN$1&amp;$AG115),2,20)*1)</f>
        <v>547</v>
      </c>
      <c r="U115" s="131"/>
      <c r="V115" s="157">
        <f ca="1">IF(OR(ISNUMBER(INDIRECT("für_Einstufung!"&amp;AP$1&amp;$AG115)),INDIRECT("für_Einstufung!"&amp;AP$1&amp;$AG115)="n.b."),INDIRECT("für_Einstufung!"&amp;AP$1&amp;$AG115),MID(INDIRECT("für_Einstufung!"&amp;AP$1&amp;$AG115),2,20)*1)</f>
        <v>551</v>
      </c>
      <c r="W115" s="129" t="str">
        <f ca="1">IF(N115="n.b.","n.b.",IF(N115*0.000001&lt;$G115,"&lt; Bgr.",N115*0.000001/$H115))</f>
        <v>&lt; Bgr.</v>
      </c>
      <c r="X115" s="129"/>
      <c r="Y115" s="129" t="str">
        <f ca="1">IF(P115="n.b.","n.b.",IF(P115*0.000001&lt;$G115,"&lt; Bgr.",P115*0.000001/$H115))</f>
        <v>&lt; Bgr.</v>
      </c>
      <c r="Z115" s="129"/>
      <c r="AA115" s="129" t="str">
        <f ca="1">IF(R115="n.b.","n.b.",IF(R115*0.000001&lt;$G115,"&lt; Bgr.",R115*0.000001/$H115))</f>
        <v>&lt; Bgr.</v>
      </c>
      <c r="AB115" s="129"/>
      <c r="AC115" s="129" t="str">
        <f ca="1">IF(T115="n.b.","n.b.",IF(T115*0.000001&lt;$G115,"&lt; Bgr.",T115*0.000001/$H115))</f>
        <v>&lt; Bgr.</v>
      </c>
      <c r="AD115" s="129"/>
      <c r="AE115" s="129" t="str">
        <f ca="1">IF(V115="n.b.","n.b.",IF(V115*0.000001&lt;$G115,"&lt; Bgr.",V115*0.000001/$H115))</f>
        <v>&lt; Bgr.</v>
      </c>
      <c r="AG115" s="104">
        <v>82</v>
      </c>
      <c r="AH115" s="120" t="str">
        <f ca="1">INDIRECT("für_Einstufung!ai$"&amp;AG115)</f>
        <v>Zn_Stoffgr. 2</v>
      </c>
    </row>
    <row r="116" spans="1:34" s="121" customFormat="1" hidden="1" outlineLevel="1" thickBot="1" x14ac:dyDescent="0.35">
      <c r="A116" s="155" t="s">
        <v>95</v>
      </c>
      <c r="B116" s="153"/>
      <c r="G116" s="154"/>
      <c r="H116" s="154"/>
      <c r="L116" s="153"/>
      <c r="V116" s="124"/>
      <c r="W116" s="123">
        <f ca="1">SUM(W112:W115)</f>
        <v>0</v>
      </c>
      <c r="X116" s="122"/>
      <c r="Y116" s="122">
        <f ca="1">SUM(Y112:Y115)</f>
        <v>0</v>
      </c>
      <c r="Z116" s="122"/>
      <c r="AA116" s="122">
        <f ca="1">SUM(AA112:AA115)</f>
        <v>0</v>
      </c>
      <c r="AB116" s="122"/>
      <c r="AC116" s="122">
        <f ca="1">SUM(AC112:AC115)</f>
        <v>0</v>
      </c>
      <c r="AD116" s="122"/>
      <c r="AE116" s="122">
        <f ca="1">SUM(AE112:AE115)</f>
        <v>0</v>
      </c>
      <c r="AF116" s="93"/>
      <c r="AG116" s="104"/>
      <c r="AH116" s="120"/>
    </row>
    <row r="117" spans="1:34" hidden="1" outlineLevel="1" thickBot="1" x14ac:dyDescent="0.3">
      <c r="A117" s="152" t="s">
        <v>134</v>
      </c>
      <c r="B117" s="151"/>
      <c r="C117" s="151"/>
      <c r="D117" s="150"/>
      <c r="E117" s="149"/>
      <c r="F117" s="148"/>
      <c r="G117" s="147"/>
      <c r="H117" s="147"/>
      <c r="I117" s="146"/>
      <c r="J117" s="146"/>
      <c r="K117" s="146"/>
      <c r="L117" s="145"/>
      <c r="M117" s="144"/>
      <c r="N117" s="144"/>
      <c r="O117" s="144"/>
      <c r="P117" s="144"/>
      <c r="Q117" s="144"/>
      <c r="R117" s="144"/>
      <c r="S117" s="144"/>
      <c r="T117" s="144"/>
      <c r="U117" s="144"/>
      <c r="V117" s="143"/>
      <c r="W117" s="142"/>
      <c r="X117" s="142"/>
      <c r="Y117" s="142"/>
      <c r="Z117" s="142"/>
      <c r="AA117" s="142"/>
      <c r="AB117" s="142"/>
      <c r="AC117" s="142"/>
      <c r="AD117" s="142"/>
      <c r="AE117" s="141"/>
    </row>
    <row r="118" spans="1:34" ht="28.2" hidden="1" outlineLevel="1" thickBot="1" x14ac:dyDescent="0.3">
      <c r="A118" s="139" t="s">
        <v>33</v>
      </c>
      <c r="B118" s="138" t="s">
        <v>131</v>
      </c>
      <c r="C118" s="138" t="s">
        <v>133</v>
      </c>
      <c r="D118" s="137">
        <v>1E-3</v>
      </c>
      <c r="E118" s="136">
        <v>2.5000000000000001E-3</v>
      </c>
      <c r="F118" s="135">
        <v>2.512</v>
      </c>
      <c r="G118" s="134">
        <f>D118/F118</f>
        <v>3.9808917197452231E-4</v>
      </c>
      <c r="H118" s="134">
        <f>G118*E118/D118</f>
        <v>9.9522292993630573E-4</v>
      </c>
      <c r="I118" s="133" t="s">
        <v>96</v>
      </c>
      <c r="J118" s="131">
        <f>ROUND(G118*1000000,0)</f>
        <v>398</v>
      </c>
      <c r="K118" s="131">
        <f>ROUND(H118*1000000,-1)</f>
        <v>1000</v>
      </c>
      <c r="L118" s="132">
        <f ca="1">INDIRECT("für_Einstufung!A"&amp;M118)</f>
        <v>0</v>
      </c>
      <c r="M118" s="131">
        <v>75</v>
      </c>
      <c r="N118" s="189">
        <f ca="1">IF(OR(ISNUMBER(INDIRECT("für_Einstufung!"&amp;AH$1&amp;$AG118)),INDIRECT("für_Einstufung!"&amp;AH$1&amp;$AG118)="n.b."),INDIRECT("für_Einstufung!"&amp;AH$1&amp;$AG118),MID(INDIRECT("für_Einstufung!"&amp;AH$1&amp;$AG118),2,20)*1)</f>
        <v>14.5</v>
      </c>
      <c r="O118" s="188"/>
      <c r="P118" s="188">
        <f ca="1">IF(OR(ISNUMBER(INDIRECT("für_Einstufung!"&amp;AJ$1&amp;$AG118)),INDIRECT("für_Einstufung!"&amp;AJ$1&amp;$AG118)="n.b."),INDIRECT("für_Einstufung!"&amp;AJ$1&amp;$AG118),MID(INDIRECT("für_Einstufung!"&amp;AJ$1&amp;$AG118),2,20)*1)</f>
        <v>10</v>
      </c>
      <c r="Q118" s="188"/>
      <c r="R118" s="188">
        <f ca="1">IF(OR(ISNUMBER(INDIRECT("für_Einstufung!"&amp;AL$1&amp;$AG118)),INDIRECT("für_Einstufung!"&amp;AL$1&amp;$AG118)="n.b."),INDIRECT("für_Einstufung!"&amp;AL$1&amp;$AG118),MID(INDIRECT("für_Einstufung!"&amp;AL$1&amp;$AG118),2,20)*1)</f>
        <v>10</v>
      </c>
      <c r="S118" s="188"/>
      <c r="T118" s="188">
        <f ca="1">IF(OR(ISNUMBER(INDIRECT("für_Einstufung!"&amp;AN$1&amp;$AG118)),INDIRECT("für_Einstufung!"&amp;AN$1&amp;$AG118)="n.b."),INDIRECT("für_Einstufung!"&amp;AN$1&amp;$AG118),MID(INDIRECT("für_Einstufung!"&amp;AN$1&amp;$AG118),2,20)*1)</f>
        <v>10</v>
      </c>
      <c r="U118" s="188"/>
      <c r="V118" s="187">
        <f ca="1">IF(OR(ISNUMBER(INDIRECT("für_Einstufung!"&amp;AP$1&amp;$AG118)),INDIRECT("für_Einstufung!"&amp;AP$1&amp;$AG118)="n.b."),INDIRECT("für_Einstufung!"&amp;AP$1&amp;$AG118),MID(INDIRECT("für_Einstufung!"&amp;AP$1&amp;$AG118),2,20)*1)</f>
        <v>14.5</v>
      </c>
      <c r="W118" s="140" t="str">
        <f ca="1">IF(N118="n.b.","n.b.",IF(N118*0.000001&lt;$G118,"&lt; Bgr.",N118*0.000001/$H118))</f>
        <v>&lt; Bgr.</v>
      </c>
      <c r="X118" s="140"/>
      <c r="Y118" s="140" t="str">
        <f ca="1">IF(P118="n.b.","n.b.",IF(P118*0.000001&lt;$G118,"&lt; Bgr.",P118*0.000001/$H118))</f>
        <v>&lt; Bgr.</v>
      </c>
      <c r="Z118" s="140"/>
      <c r="AA118" s="140" t="str">
        <f ca="1">IF(R118="n.b.","n.b.",IF(R118*0.000001&lt;$G118,"&lt; Bgr.",R118*0.000001/$H118))</f>
        <v>&lt; Bgr.</v>
      </c>
      <c r="AB118" s="140"/>
      <c r="AC118" s="140" t="str">
        <f ca="1">IF(T118="n.b.","n.b.",IF(T118*0.000001&lt;$G118,"&lt; Bgr.",T118*0.000001/$H118))</f>
        <v>&lt; Bgr.</v>
      </c>
      <c r="AD118" s="140"/>
      <c r="AE118" s="140" t="str">
        <f ca="1">IF(V118="n.b.","n.b.",IF(V118*0.000001&lt;$G118,"&lt; Bgr.",V118*0.000001/$H118))</f>
        <v>&lt; Bgr.</v>
      </c>
      <c r="AG118" s="104">
        <v>84</v>
      </c>
      <c r="AH118" s="120" t="str">
        <f ca="1">INDIRECT("für_Einstufung!ai$"&amp;AG118)</f>
        <v>Cu_Stoffgr. 3</v>
      </c>
    </row>
    <row r="119" spans="1:34" ht="28.2" hidden="1" outlineLevel="1" thickBot="1" x14ac:dyDescent="0.3">
      <c r="A119" s="139" t="s">
        <v>32</v>
      </c>
      <c r="B119" s="138" t="s">
        <v>131</v>
      </c>
      <c r="C119" s="138" t="s">
        <v>132</v>
      </c>
      <c r="D119" s="137">
        <v>1E-3</v>
      </c>
      <c r="E119" s="136">
        <v>2.5000000000000001E-3</v>
      </c>
      <c r="F119" s="135">
        <v>2.6360000000000001</v>
      </c>
      <c r="G119" s="134">
        <f>D119/F119</f>
        <v>3.7936267071320183E-4</v>
      </c>
      <c r="H119" s="134">
        <f>G119*E119/D119</f>
        <v>9.4840667678300458E-4</v>
      </c>
      <c r="I119" s="133" t="s">
        <v>96</v>
      </c>
      <c r="J119" s="131">
        <f>ROUND(G119*1000000,0)</f>
        <v>379</v>
      </c>
      <c r="K119" s="131">
        <f>ROUND(H119*1000000,0)</f>
        <v>948</v>
      </c>
      <c r="L119" s="132">
        <f ca="1">INDIRECT("für_Einstufung!A"&amp;M119)</f>
        <v>0</v>
      </c>
      <c r="M119" s="131">
        <v>77</v>
      </c>
      <c r="N119" s="189">
        <f ca="1">IF(OR(ISNUMBER(INDIRECT("für_Einstufung!"&amp;AH$1&amp;$AG119)),INDIRECT("für_Einstufung!"&amp;AH$1&amp;$AG119)="n.b."),INDIRECT("für_Einstufung!"&amp;AH$1&amp;$AG119),MID(INDIRECT("für_Einstufung!"&amp;AH$1&amp;$AG119),2,20)*1)</f>
        <v>10</v>
      </c>
      <c r="O119" s="188"/>
      <c r="P119" s="188">
        <f ca="1">IF(OR(ISNUMBER(INDIRECT("für_Einstufung!"&amp;AJ$1&amp;$AG119)),INDIRECT("für_Einstufung!"&amp;AJ$1&amp;$AG119)="n.b."),INDIRECT("für_Einstufung!"&amp;AJ$1&amp;$AG119),MID(INDIRECT("für_Einstufung!"&amp;AJ$1&amp;$AG119),2,20)*1)</f>
        <v>14.5</v>
      </c>
      <c r="Q119" s="188"/>
      <c r="R119" s="188">
        <f ca="1">IF(OR(ISNUMBER(INDIRECT("für_Einstufung!"&amp;AL$1&amp;$AG119)),INDIRECT("für_Einstufung!"&amp;AL$1&amp;$AG119)="n.b."),INDIRECT("für_Einstufung!"&amp;AL$1&amp;$AG119),MID(INDIRECT("für_Einstufung!"&amp;AL$1&amp;$AG119),2,20)*1)</f>
        <v>10</v>
      </c>
      <c r="S119" s="188"/>
      <c r="T119" s="188">
        <f ca="1">IF(OR(ISNUMBER(INDIRECT("für_Einstufung!"&amp;AN$1&amp;$AG119)),INDIRECT("für_Einstufung!"&amp;AN$1&amp;$AG119)="n.b."),INDIRECT("für_Einstufung!"&amp;AN$1&amp;$AG119),MID(INDIRECT("für_Einstufung!"&amp;AN$1&amp;$AG119),2,20)*1)</f>
        <v>10</v>
      </c>
      <c r="U119" s="188"/>
      <c r="V119" s="187">
        <f ca="1">IF(OR(ISNUMBER(INDIRECT("für_Einstufung!"&amp;AP$1&amp;$AG119)),INDIRECT("für_Einstufung!"&amp;AP$1&amp;$AG119)="n.b."),INDIRECT("für_Einstufung!"&amp;AP$1&amp;$AG119),MID(INDIRECT("für_Einstufung!"&amp;AP$1&amp;$AG119),2,20)*1)</f>
        <v>10</v>
      </c>
      <c r="W119" s="140" t="str">
        <f ca="1">IF(N119="n.b.","n.b.",IF(N119*0.000001&lt;$G119,"&lt; Bgr.",N119*0.000001/$H119))</f>
        <v>&lt; Bgr.</v>
      </c>
      <c r="X119" s="140"/>
      <c r="Y119" s="140" t="str">
        <f ca="1">IF(P119="n.b.","n.b.",IF(P119*0.000001&lt;$G119,"&lt; Bgr.",P119*0.000001/$H119))</f>
        <v>&lt; Bgr.</v>
      </c>
      <c r="Z119" s="140"/>
      <c r="AA119" s="140" t="str">
        <f ca="1">IF(R119="n.b.","n.b.",IF(R119*0.000001&lt;$G119,"&lt; Bgr.",R119*0.000001/$H119))</f>
        <v>&lt; Bgr.</v>
      </c>
      <c r="AB119" s="140"/>
      <c r="AC119" s="140" t="str">
        <f ca="1">IF(T119="n.b.","n.b.",IF(T119*0.000001&lt;$G119,"&lt; Bgr.",T119*0.000001/$H119))</f>
        <v>&lt; Bgr.</v>
      </c>
      <c r="AD119" s="140"/>
      <c r="AE119" s="140" t="str">
        <f ca="1">IF(V119="n.b.","n.b.",IF(V119*0.000001&lt;$G119,"&lt; Bgr.",V119*0.000001/$H119))</f>
        <v>&lt; Bgr.</v>
      </c>
      <c r="AG119" s="104">
        <v>85</v>
      </c>
      <c r="AH119" s="120" t="str">
        <f ca="1">INDIRECT("für_Einstufung!ai$"&amp;AG119)</f>
        <v>Ni_Stoffgr. 3</v>
      </c>
    </row>
    <row r="120" spans="1:34" ht="28.2" hidden="1" outlineLevel="1" thickBot="1" x14ac:dyDescent="0.3">
      <c r="A120" s="139" t="s">
        <v>31</v>
      </c>
      <c r="B120" s="138" t="s">
        <v>131</v>
      </c>
      <c r="C120" s="138" t="s">
        <v>31</v>
      </c>
      <c r="D120" s="137">
        <v>1E-3</v>
      </c>
      <c r="E120" s="136">
        <v>2.5000000000000001E-3</v>
      </c>
      <c r="F120" s="135">
        <v>1</v>
      </c>
      <c r="G120" s="134">
        <f>D120/F120</f>
        <v>1E-3</v>
      </c>
      <c r="H120" s="134">
        <f>G120*E120/D120</f>
        <v>2.5000000000000001E-3</v>
      </c>
      <c r="I120" s="133" t="s">
        <v>96</v>
      </c>
      <c r="J120" s="131">
        <f>ROUND(G120*1000000,-1)</f>
        <v>1000</v>
      </c>
      <c r="K120" s="131">
        <f>ROUND(H120*1000000,-1)</f>
        <v>2500</v>
      </c>
      <c r="L120" s="132">
        <f ca="1">INDIRECT("für_Einstufung!A"&amp;M120)</f>
        <v>0</v>
      </c>
      <c r="M120" s="131">
        <v>78</v>
      </c>
      <c r="N120" s="189">
        <f ca="1">IF(OR(ISNUMBER(INDIRECT("für_Einstufung!"&amp;AH$1&amp;$AG120)),INDIRECT("für_Einstufung!"&amp;AH$1&amp;$AG120)="n.b."),INDIRECT("für_Einstufung!"&amp;AH$1&amp;$AG120),MID(INDIRECT("für_Einstufung!"&amp;AH$1&amp;$AG120),2,20)*1)</f>
        <v>10</v>
      </c>
      <c r="O120" s="188"/>
      <c r="P120" s="188">
        <f ca="1">IF(OR(ISNUMBER(INDIRECT("für_Einstufung!"&amp;AJ$1&amp;$AG120)),INDIRECT("für_Einstufung!"&amp;AJ$1&amp;$AG120)="n.b."),INDIRECT("für_Einstufung!"&amp;AJ$1&amp;$AG120),MID(INDIRECT("für_Einstufung!"&amp;AJ$1&amp;$AG120),2,20)*1)</f>
        <v>10</v>
      </c>
      <c r="Q120" s="188"/>
      <c r="R120" s="188">
        <f ca="1">IF(OR(ISNUMBER(INDIRECT("für_Einstufung!"&amp;AL$1&amp;$AG120)),INDIRECT("für_Einstufung!"&amp;AL$1&amp;$AG120)="n.b."),INDIRECT("für_Einstufung!"&amp;AL$1&amp;$AG120),MID(INDIRECT("für_Einstufung!"&amp;AL$1&amp;$AG120),2,20)*1)</f>
        <v>14.5</v>
      </c>
      <c r="S120" s="188"/>
      <c r="T120" s="188">
        <f ca="1">IF(OR(ISNUMBER(INDIRECT("für_Einstufung!"&amp;AN$1&amp;$AG120)),INDIRECT("für_Einstufung!"&amp;AN$1&amp;$AG120)="n.b."),INDIRECT("für_Einstufung!"&amp;AN$1&amp;$AG120),MID(INDIRECT("für_Einstufung!"&amp;AN$1&amp;$AG120),2,20)*1)</f>
        <v>10</v>
      </c>
      <c r="U120" s="188"/>
      <c r="V120" s="187">
        <f ca="1">IF(OR(ISNUMBER(INDIRECT("für_Einstufung!"&amp;AP$1&amp;$AG120)),INDIRECT("für_Einstufung!"&amp;AP$1&amp;$AG120)="n.b."),INDIRECT("für_Einstufung!"&amp;AP$1&amp;$AG120),MID(INDIRECT("für_Einstufung!"&amp;AP$1&amp;$AG120),2,20)*1)</f>
        <v>10</v>
      </c>
      <c r="W120" s="140" t="str">
        <f ca="1">IF(N120="n.b.","n.b.",IF(N120*0.000001&lt;$G120,"&lt; Bgr.",N120*0.000001/$H120))</f>
        <v>&lt; Bgr.</v>
      </c>
      <c r="X120" s="140"/>
      <c r="Y120" s="140" t="str">
        <f ca="1">IF(P120="n.b.","n.b.",IF(P120*0.000001&lt;$G120,"&lt; Bgr.",P120*0.000001/$H120))</f>
        <v>&lt; Bgr.</v>
      </c>
      <c r="Z120" s="140"/>
      <c r="AA120" s="140" t="str">
        <f ca="1">IF(R120="n.b.","n.b.",IF(R120*0.000001&lt;$G120,"&lt; Bgr.",R120*0.000001/$H120))</f>
        <v>&lt; Bgr.</v>
      </c>
      <c r="AB120" s="140"/>
      <c r="AC120" s="140" t="str">
        <f ca="1">IF(T120="n.b.","n.b.",IF(T120*0.000001&lt;$G120,"&lt; Bgr.",T120*0.000001/$H120))</f>
        <v>&lt; Bgr.</v>
      </c>
      <c r="AD120" s="140"/>
      <c r="AE120" s="140" t="str">
        <f ca="1">IF(V120="n.b.","n.b.",IF(V120*0.000001&lt;$G120,"&lt; Bgr.",V120*0.000001/$H120))</f>
        <v>&lt; Bgr.</v>
      </c>
      <c r="AG120" s="104">
        <v>86</v>
      </c>
      <c r="AH120" s="120" t="str">
        <f ca="1">INDIRECT("für_Einstufung!ai$"&amp;AG120)</f>
        <v>Pb_Stoffgr. 3</v>
      </c>
    </row>
    <row r="121" spans="1:34" ht="28.2" hidden="1" outlineLevel="1" thickBot="1" x14ac:dyDescent="0.3">
      <c r="A121" s="139" t="s">
        <v>30</v>
      </c>
      <c r="B121" s="138" t="s">
        <v>131</v>
      </c>
      <c r="C121" s="138" t="s">
        <v>130</v>
      </c>
      <c r="D121" s="137">
        <v>1E-3</v>
      </c>
      <c r="E121" s="136">
        <v>2.5000000000000001E-3</v>
      </c>
      <c r="F121" s="190">
        <v>2.4700000000000002</v>
      </c>
      <c r="G121" s="134">
        <f>D121/F121</f>
        <v>4.0485829959514168E-4</v>
      </c>
      <c r="H121" s="134">
        <f>G121*E121/D121</f>
        <v>1.0121457489878543E-3</v>
      </c>
      <c r="I121" s="133" t="s">
        <v>96</v>
      </c>
      <c r="J121" s="131">
        <f>ROUND(G121*1000000,0)</f>
        <v>405</v>
      </c>
      <c r="K121" s="131">
        <f>ROUND(H121*1000000,-1)</f>
        <v>1010</v>
      </c>
      <c r="L121" s="132">
        <f ca="1">INDIRECT("für_Einstufung!A"&amp;M121)</f>
        <v>0</v>
      </c>
      <c r="M121" s="131">
        <v>76</v>
      </c>
      <c r="N121" s="189">
        <f ca="1">IF(OR(ISNUMBER(INDIRECT("für_Einstufung!"&amp;AH$1&amp;$AG121)),INDIRECT("für_Einstufung!"&amp;AH$1&amp;$AG121)="n.b."),INDIRECT("für_Einstufung!"&amp;AH$1&amp;$AG121),MID(INDIRECT("für_Einstufung!"&amp;AH$1&amp;$AG121),2,20)*1)</f>
        <v>10</v>
      </c>
      <c r="O121" s="188"/>
      <c r="P121" s="188">
        <f ca="1">IF(OR(ISNUMBER(INDIRECT("für_Einstufung!"&amp;AJ$1&amp;$AG121)),INDIRECT("für_Einstufung!"&amp;AJ$1&amp;$AG121)="n.b."),INDIRECT("für_Einstufung!"&amp;AJ$1&amp;$AG121),MID(INDIRECT("für_Einstufung!"&amp;AJ$1&amp;$AG121),2,20)*1)</f>
        <v>10</v>
      </c>
      <c r="Q121" s="188"/>
      <c r="R121" s="188">
        <f ca="1">IF(OR(ISNUMBER(INDIRECT("für_Einstufung!"&amp;AL$1&amp;$AG121)),INDIRECT("für_Einstufung!"&amp;AL$1&amp;$AG121)="n.b."),INDIRECT("für_Einstufung!"&amp;AL$1&amp;$AG121),MID(INDIRECT("für_Einstufung!"&amp;AL$1&amp;$AG121),2,20)*1)</f>
        <v>10</v>
      </c>
      <c r="S121" s="188"/>
      <c r="T121" s="188">
        <f ca="1">IF(OR(ISNUMBER(INDIRECT("für_Einstufung!"&amp;AN$1&amp;$AG121)),INDIRECT("für_Einstufung!"&amp;AN$1&amp;$AG121)="n.b."),INDIRECT("für_Einstufung!"&amp;AN$1&amp;$AG121),MID(INDIRECT("für_Einstufung!"&amp;AN$1&amp;$AG121),2,20)*1)</f>
        <v>14.5</v>
      </c>
      <c r="U121" s="188"/>
      <c r="V121" s="187">
        <f ca="1">IF(OR(ISNUMBER(INDIRECT("für_Einstufung!"&amp;AP$1&amp;$AG121)),INDIRECT("für_Einstufung!"&amp;AP$1&amp;$AG121)="n.b."),INDIRECT("für_Einstufung!"&amp;AP$1&amp;$AG121),MID(INDIRECT("für_Einstufung!"&amp;AP$1&amp;$AG121),2,20)*1)</f>
        <v>10</v>
      </c>
      <c r="W121" s="140" t="str">
        <f ca="1">IF(N121="n.b.","n.b.",IF(N121*0.000001&lt;$G121,"&lt; Bgr.",N121*0.000001/$H121))</f>
        <v>&lt; Bgr.</v>
      </c>
      <c r="X121" s="140"/>
      <c r="Y121" s="140" t="str">
        <f ca="1">IF(P121="n.b.","n.b.",IF(P121*0.000001&lt;$G121,"&lt; Bgr.",P121*0.000001/$H121))</f>
        <v>&lt; Bgr.</v>
      </c>
      <c r="Z121" s="140"/>
      <c r="AA121" s="140" t="str">
        <f ca="1">IF(R121="n.b.","n.b.",IF(R121*0.000001&lt;$G121,"&lt; Bgr.",R121*0.000001/$H121))</f>
        <v>&lt; Bgr.</v>
      </c>
      <c r="AB121" s="140"/>
      <c r="AC121" s="140" t="str">
        <f ca="1">IF(T121="n.b.","n.b.",IF(T121*0.000001&lt;$G121,"&lt; Bgr.",T121*0.000001/$H121))</f>
        <v>&lt; Bgr.</v>
      </c>
      <c r="AD121" s="140"/>
      <c r="AE121" s="140" t="str">
        <f ca="1">IF(V121="n.b.","n.b.",IF(V121*0.000001&lt;$G121,"&lt; Bgr.",V121*0.000001/$H121))</f>
        <v>&lt; Bgr.</v>
      </c>
      <c r="AG121" s="104">
        <v>87</v>
      </c>
      <c r="AH121" s="120" t="str">
        <f ca="1">INDIRECT("für_Einstufung!ai$"&amp;AG121)</f>
        <v>Zn_Stoffgr. 3</v>
      </c>
    </row>
    <row r="122" spans="1:34" s="121" customFormat="1" hidden="1" outlineLevel="1" thickBot="1" x14ac:dyDescent="0.35">
      <c r="A122" s="155" t="s">
        <v>129</v>
      </c>
      <c r="B122" s="153"/>
      <c r="G122" s="186"/>
      <c r="H122" s="186"/>
      <c r="L122" s="153"/>
      <c r="V122" s="185"/>
      <c r="W122" s="123">
        <f ca="1">SUM(W118:W121)</f>
        <v>0</v>
      </c>
      <c r="X122" s="122"/>
      <c r="Y122" s="122">
        <f ca="1">SUM(Y118:Y121)</f>
        <v>0</v>
      </c>
      <c r="Z122" s="122"/>
      <c r="AA122" s="122">
        <f ca="1">SUM(AA118:AA121)</f>
        <v>0</v>
      </c>
      <c r="AB122" s="122"/>
      <c r="AC122" s="122">
        <f ca="1">SUM(AC118:AC121)</f>
        <v>0</v>
      </c>
      <c r="AD122" s="122"/>
      <c r="AE122" s="122">
        <f ca="1">SUM(AE118:AE121)</f>
        <v>0</v>
      </c>
      <c r="AF122" s="93"/>
      <c r="AG122" s="104"/>
      <c r="AH122" s="184"/>
    </row>
    <row r="123" spans="1:34" s="119" customFormat="1" hidden="1" outlineLevel="1" thickBot="1" x14ac:dyDescent="0.35">
      <c r="A123" s="183" t="s">
        <v>128</v>
      </c>
      <c r="B123" s="181"/>
      <c r="G123" s="182"/>
      <c r="H123" s="182"/>
      <c r="L123" s="181"/>
      <c r="V123" s="180"/>
      <c r="W123" s="179">
        <f ca="1">SUM(W122,W116,W110,W99)</f>
        <v>0</v>
      </c>
      <c r="X123" s="178"/>
      <c r="Y123" s="178">
        <f ca="1">SUM(Y122,Y116,Y110,Y99)</f>
        <v>0</v>
      </c>
      <c r="Z123" s="178"/>
      <c r="AA123" s="178">
        <f ca="1">SUM(AA122,AA116,AA110,AA99)</f>
        <v>0</v>
      </c>
      <c r="AB123" s="178"/>
      <c r="AC123" s="178">
        <f ca="1">SUM(AC122,AC116,AC110,AC99)</f>
        <v>0</v>
      </c>
      <c r="AD123" s="178"/>
      <c r="AE123" s="178">
        <f ca="1">SUM(AE122,AE116,AE110,AE99)</f>
        <v>0</v>
      </c>
      <c r="AG123" s="104"/>
      <c r="AH123" s="177"/>
    </row>
    <row r="124" spans="1:34" ht="13.8" collapsed="1" x14ac:dyDescent="0.3">
      <c r="A124" s="93"/>
      <c r="B124" s="93"/>
      <c r="I124" s="93"/>
      <c r="J124" s="93"/>
      <c r="M124" s="113"/>
      <c r="N124" s="113"/>
      <c r="O124" s="113"/>
      <c r="P124" s="113"/>
      <c r="Q124" s="113"/>
      <c r="R124" s="113"/>
      <c r="S124" s="113"/>
      <c r="T124" s="113"/>
      <c r="U124" s="113"/>
      <c r="V124" s="113"/>
      <c r="W124" s="112"/>
      <c r="X124" s="112"/>
      <c r="Y124" s="112"/>
      <c r="Z124" s="112"/>
      <c r="AA124" s="112"/>
      <c r="AB124" s="112"/>
      <c r="AC124" s="112"/>
      <c r="AD124" s="112"/>
      <c r="AE124" s="112"/>
    </row>
    <row r="125" spans="1:34" ht="13.8" x14ac:dyDescent="0.3">
      <c r="A125" s="176" t="s">
        <v>127</v>
      </c>
      <c r="G125" s="175"/>
      <c r="H125" s="175"/>
      <c r="M125" s="113"/>
      <c r="N125" s="113"/>
      <c r="O125" s="113"/>
      <c r="P125" s="113"/>
      <c r="Q125" s="113"/>
      <c r="R125" s="113"/>
      <c r="S125" s="113"/>
      <c r="T125" s="113"/>
      <c r="U125" s="113"/>
      <c r="V125" s="113"/>
      <c r="W125" s="112"/>
      <c r="X125" s="112"/>
      <c r="Y125" s="112"/>
      <c r="Z125" s="112"/>
      <c r="AA125" s="112"/>
      <c r="AB125" s="112"/>
      <c r="AC125" s="112"/>
      <c r="AD125" s="112"/>
      <c r="AE125" s="112"/>
    </row>
    <row r="126" spans="1:34" ht="13.8" hidden="1" outlineLevel="1" x14ac:dyDescent="0.3">
      <c r="G126" s="175"/>
      <c r="H126" s="175"/>
      <c r="M126" s="113"/>
      <c r="N126" s="113"/>
      <c r="O126" s="113"/>
      <c r="P126" s="113"/>
      <c r="Q126" s="113"/>
      <c r="R126" s="113"/>
      <c r="S126" s="113"/>
      <c r="T126" s="113"/>
      <c r="U126" s="113"/>
      <c r="V126" s="113"/>
      <c r="W126" s="112"/>
      <c r="X126" s="112"/>
      <c r="Y126" s="112"/>
      <c r="Z126" s="112"/>
      <c r="AA126" s="112"/>
      <c r="AB126" s="112"/>
      <c r="AC126" s="112"/>
      <c r="AD126" s="112"/>
      <c r="AE126" s="112"/>
    </row>
    <row r="127" spans="1:34" ht="81" hidden="1" outlineLevel="1" thickBot="1" x14ac:dyDescent="0.3">
      <c r="A127" s="174" t="s">
        <v>126</v>
      </c>
      <c r="B127" s="171" t="s">
        <v>125</v>
      </c>
      <c r="C127" s="171" t="s">
        <v>124</v>
      </c>
      <c r="D127" s="171" t="s">
        <v>123</v>
      </c>
      <c r="E127" s="173" t="s">
        <v>122</v>
      </c>
      <c r="F127" s="316" t="s">
        <v>121</v>
      </c>
      <c r="G127" s="171" t="s">
        <v>119</v>
      </c>
      <c r="H127" s="171" t="s">
        <v>118</v>
      </c>
      <c r="I127" s="172" t="s">
        <v>120</v>
      </c>
      <c r="J127" s="171" t="s">
        <v>119</v>
      </c>
      <c r="K127" s="171" t="s">
        <v>118</v>
      </c>
      <c r="L127" s="170" t="s">
        <v>117</v>
      </c>
      <c r="M127" s="169" t="s">
        <v>116</v>
      </c>
      <c r="N127" s="312" t="s">
        <v>115</v>
      </c>
      <c r="O127" s="313"/>
      <c r="P127" s="313"/>
      <c r="Q127" s="313"/>
      <c r="R127" s="313"/>
      <c r="S127" s="313"/>
      <c r="T127" s="313"/>
      <c r="U127" s="313"/>
      <c r="V127" s="314"/>
      <c r="W127" s="313" t="s">
        <v>114</v>
      </c>
      <c r="X127" s="313"/>
      <c r="Y127" s="313"/>
      <c r="Z127" s="313"/>
      <c r="AA127" s="313"/>
      <c r="AB127" s="313"/>
      <c r="AC127" s="313"/>
      <c r="AD127" s="313"/>
      <c r="AE127" s="315"/>
    </row>
    <row r="128" spans="1:34" ht="27.6" hidden="1" outlineLevel="1" thickBot="1" x14ac:dyDescent="0.35">
      <c r="A128" s="168"/>
      <c r="B128" s="165"/>
      <c r="C128" s="166"/>
      <c r="D128" s="166" t="s">
        <v>67</v>
      </c>
      <c r="E128" s="166" t="s">
        <v>67</v>
      </c>
      <c r="F128" s="317"/>
      <c r="G128" s="166" t="s">
        <v>113</v>
      </c>
      <c r="H128" s="166" t="s">
        <v>113</v>
      </c>
      <c r="I128" s="167" t="s">
        <v>112</v>
      </c>
      <c r="J128" s="166" t="s">
        <v>111</v>
      </c>
      <c r="K128" s="166" t="s">
        <v>111</v>
      </c>
      <c r="L128" s="165"/>
      <c r="M128" s="164"/>
      <c r="N128" s="163" t="s">
        <v>110</v>
      </c>
      <c r="O128" s="162"/>
      <c r="P128" s="162" t="s">
        <v>109</v>
      </c>
      <c r="Q128" s="162"/>
      <c r="R128" s="162" t="s">
        <v>108</v>
      </c>
      <c r="S128" s="162"/>
      <c r="T128" s="162" t="s">
        <v>107</v>
      </c>
      <c r="U128" s="162"/>
      <c r="V128" s="161" t="s">
        <v>106</v>
      </c>
      <c r="W128" s="160" t="s">
        <v>110</v>
      </c>
      <c r="X128" s="159"/>
      <c r="Y128" s="159" t="s">
        <v>109</v>
      </c>
      <c r="Z128" s="159"/>
      <c r="AA128" s="159" t="s">
        <v>108</v>
      </c>
      <c r="AB128" s="159"/>
      <c r="AC128" s="159" t="s">
        <v>107</v>
      </c>
      <c r="AD128" s="159"/>
      <c r="AE128" s="159" t="s">
        <v>106</v>
      </c>
      <c r="AG128" s="158"/>
    </row>
    <row r="129" spans="1:34" ht="13.8" hidden="1" outlineLevel="1" x14ac:dyDescent="0.3">
      <c r="A129" s="119" t="s">
        <v>105</v>
      </c>
      <c r="B129" s="93"/>
      <c r="I129" s="93"/>
      <c r="J129" s="93"/>
      <c r="M129" s="113"/>
      <c r="N129" s="113"/>
      <c r="O129" s="113"/>
      <c r="P129" s="113"/>
      <c r="Q129" s="113"/>
      <c r="R129" s="113"/>
      <c r="S129" s="113"/>
      <c r="T129" s="113"/>
      <c r="U129" s="113"/>
      <c r="V129" s="113"/>
      <c r="W129" s="112"/>
      <c r="X129" s="112"/>
      <c r="Y129" s="112"/>
      <c r="Z129" s="112"/>
      <c r="AA129" s="112"/>
      <c r="AB129" s="112"/>
      <c r="AC129" s="112"/>
      <c r="AD129" s="112"/>
      <c r="AE129" s="112"/>
    </row>
    <row r="130" spans="1:34" hidden="1" outlineLevel="1" thickBot="1" x14ac:dyDescent="0.35">
      <c r="A130" s="139" t="s">
        <v>33</v>
      </c>
      <c r="B130" s="151"/>
      <c r="C130" s="151"/>
      <c r="D130" s="150"/>
      <c r="E130" s="149"/>
      <c r="F130" s="148"/>
      <c r="G130" s="149"/>
      <c r="H130" s="149"/>
      <c r="I130" s="146"/>
      <c r="J130" s="146"/>
      <c r="K130" s="146"/>
      <c r="M130" s="113"/>
      <c r="N130" s="130">
        <f ca="1">IF(OR(ISNUMBER(INDIRECT("für_Einstufung!"&amp;AH$1&amp;$AG130)),INDIRECT("für_Einstufung!"&amp;AH$1&amp;$AG130)="n.b."),INDIRECT("für_Einstufung!"&amp;AH$1&amp;$AG130),MID(INDIRECT("für_Einstufung!"&amp;AH$1&amp;$AG130),2,20)*1)</f>
        <v>408</v>
      </c>
      <c r="O130" s="131"/>
      <c r="P130" s="131">
        <f ca="1">IF(OR(ISNUMBER(INDIRECT("für_Einstufung!"&amp;AJ$1&amp;$AG130)),INDIRECT("für_Einstufung!"&amp;AJ$1&amp;$AG130)="n.b."),INDIRECT("für_Einstufung!"&amp;AJ$1&amp;$AG130),MID(INDIRECT("für_Einstufung!"&amp;AJ$1&amp;$AG130),2,20)*1)</f>
        <v>404</v>
      </c>
      <c r="Q130" s="131"/>
      <c r="R130" s="131">
        <f ca="1">IF(OR(ISNUMBER(INDIRECT("für_Einstufung!"&amp;AL$1&amp;$AG130)),INDIRECT("für_Einstufung!"&amp;AL$1&amp;$AG130)="n.b."),INDIRECT("für_Einstufung!"&amp;AL$1&amp;$AG130),MID(INDIRECT("für_Einstufung!"&amp;AL$1&amp;$AG130),2,20)*1)</f>
        <v>404</v>
      </c>
      <c r="S130" s="131"/>
      <c r="T130" s="131">
        <f ca="1">IF(OR(ISNUMBER(INDIRECT("für_Einstufung!"&amp;AN$1&amp;$AG130)),INDIRECT("für_Einstufung!"&amp;AN$1&amp;$AG130)="n.b."),INDIRECT("für_Einstufung!"&amp;AN$1&amp;$AG130),MID(INDIRECT("für_Einstufung!"&amp;AN$1&amp;$AG130),2,20)*1)</f>
        <v>404</v>
      </c>
      <c r="U130" s="131"/>
      <c r="V130" s="157">
        <f ca="1">IF(OR(ISNUMBER(INDIRECT("für_Einstufung!"&amp;AP$1&amp;$AG130)),INDIRECT("für_Einstufung!"&amp;AP$1&amp;$AG130)="n.b."),INDIRECT("für_Einstufung!"&amp;AP$1&amp;$AG130),MID(INDIRECT("für_Einstufung!"&amp;AP$1&amp;$AG130),2,20)*1)</f>
        <v>404</v>
      </c>
      <c r="W130" s="156"/>
      <c r="X130" s="156"/>
      <c r="Y130" s="156"/>
      <c r="Z130" s="156"/>
      <c r="AA130" s="156"/>
      <c r="AB130" s="156"/>
      <c r="AC130" s="156"/>
      <c r="AD130" s="156"/>
      <c r="AE130" s="156"/>
      <c r="AG130" s="104">
        <v>68</v>
      </c>
      <c r="AH130" s="120" t="str">
        <f ca="1">INDIRECT("für_Einstufung!ai$"&amp;AG130)</f>
        <v>Cu_min_ges</v>
      </c>
    </row>
    <row r="131" spans="1:34" hidden="1" outlineLevel="1" thickBot="1" x14ac:dyDescent="0.35">
      <c r="A131" s="139" t="s">
        <v>30</v>
      </c>
      <c r="B131" s="151"/>
      <c r="C131" s="151"/>
      <c r="D131" s="150"/>
      <c r="E131" s="149"/>
      <c r="F131" s="148"/>
      <c r="G131" s="149"/>
      <c r="H131" s="149"/>
      <c r="I131" s="146"/>
      <c r="J131" s="146"/>
      <c r="K131" s="146"/>
      <c r="M131" s="113"/>
      <c r="N131" s="130">
        <f ca="1">IF(OR(ISNUMBER(INDIRECT("für_Einstufung!"&amp;AH$1&amp;$AG131)),INDIRECT("für_Einstufung!"&amp;AH$1&amp;$AG131)="n.b."),INDIRECT("für_Einstufung!"&amp;AH$1&amp;$AG131),MID(INDIRECT("für_Einstufung!"&amp;AH$1&amp;$AG131),2,20)*1)</f>
        <v>680</v>
      </c>
      <c r="O131" s="131"/>
      <c r="P131" s="131">
        <f ca="1">IF(OR(ISNUMBER(INDIRECT("für_Einstufung!"&amp;AJ$1&amp;$AG131)),INDIRECT("für_Einstufung!"&amp;AJ$1&amp;$AG131)="n.b."),INDIRECT("für_Einstufung!"&amp;AJ$1&amp;$AG131),MID(INDIRECT("für_Einstufung!"&amp;AJ$1&amp;$AG131),2,20)*1)</f>
        <v>674</v>
      </c>
      <c r="Q131" s="131"/>
      <c r="R131" s="131">
        <f ca="1">IF(OR(ISNUMBER(INDIRECT("für_Einstufung!"&amp;AL$1&amp;$AG131)),INDIRECT("für_Einstufung!"&amp;AL$1&amp;$AG131)="n.b."),INDIRECT("für_Einstufung!"&amp;AL$1&amp;$AG131),MID(INDIRECT("für_Einstufung!"&amp;AL$1&amp;$AG131),2,20)*1)</f>
        <v>674</v>
      </c>
      <c r="S131" s="131"/>
      <c r="T131" s="131">
        <f ca="1">IF(OR(ISNUMBER(INDIRECT("für_Einstufung!"&amp;AN$1&amp;$AG131)),INDIRECT("für_Einstufung!"&amp;AN$1&amp;$AG131)="n.b."),INDIRECT("für_Einstufung!"&amp;AN$1&amp;$AG131),MID(INDIRECT("für_Einstufung!"&amp;AN$1&amp;$AG131),2,20)*1)</f>
        <v>674</v>
      </c>
      <c r="U131" s="131"/>
      <c r="V131" s="157">
        <f ca="1">IF(OR(ISNUMBER(INDIRECT("für_Einstufung!"&amp;AP$1&amp;$AG131)),INDIRECT("für_Einstufung!"&amp;AP$1&amp;$AG131)="n.b."),INDIRECT("für_Einstufung!"&amp;AP$1&amp;$AG131),MID(INDIRECT("für_Einstufung!"&amp;AP$1&amp;$AG131),2,20)*1)</f>
        <v>674</v>
      </c>
      <c r="W131" s="156"/>
      <c r="X131" s="156"/>
      <c r="Y131" s="156"/>
      <c r="Z131" s="156"/>
      <c r="AA131" s="156"/>
      <c r="AB131" s="156"/>
      <c r="AC131" s="156"/>
      <c r="AD131" s="156"/>
      <c r="AE131" s="156"/>
      <c r="AG131" s="104">
        <v>69</v>
      </c>
      <c r="AH131" s="120" t="str">
        <f ca="1">INDIRECT("für_Einstufung!ai$"&amp;AG131)</f>
        <v>Ni_min_ges</v>
      </c>
    </row>
    <row r="132" spans="1:34" hidden="1" outlineLevel="1" thickBot="1" x14ac:dyDescent="0.35">
      <c r="A132" s="139" t="s">
        <v>32</v>
      </c>
      <c r="B132" s="151"/>
      <c r="C132" s="151"/>
      <c r="D132" s="150"/>
      <c r="E132" s="149"/>
      <c r="F132" s="148"/>
      <c r="G132" s="149"/>
      <c r="H132" s="149"/>
      <c r="I132" s="146"/>
      <c r="J132" s="146"/>
      <c r="K132" s="146"/>
      <c r="M132" s="113"/>
      <c r="N132" s="130">
        <f ca="1">IF(OR(ISNUMBER(INDIRECT("für_Einstufung!"&amp;AH$1&amp;$AG132)),INDIRECT("für_Einstufung!"&amp;AH$1&amp;$AG132)="n.b."),INDIRECT("für_Einstufung!"&amp;AH$1&amp;$AG132),MID(INDIRECT("für_Einstufung!"&amp;AH$1&amp;$AG132),2,20)*1)</f>
        <v>771</v>
      </c>
      <c r="O132" s="131"/>
      <c r="P132" s="131">
        <f ca="1">IF(OR(ISNUMBER(INDIRECT("für_Einstufung!"&amp;AJ$1&amp;$AG132)),INDIRECT("für_Einstufung!"&amp;AJ$1&amp;$AG132)="n.b."),INDIRECT("für_Einstufung!"&amp;AJ$1&amp;$AG132),MID(INDIRECT("für_Einstufung!"&amp;AJ$1&amp;$AG132),2,20)*1)</f>
        <v>763</v>
      </c>
      <c r="Q132" s="131"/>
      <c r="R132" s="131">
        <f ca="1">IF(OR(ISNUMBER(INDIRECT("für_Einstufung!"&amp;AL$1&amp;$AG132)),INDIRECT("für_Einstufung!"&amp;AL$1&amp;$AG132)="n.b."),INDIRECT("für_Einstufung!"&amp;AL$1&amp;$AG132),MID(INDIRECT("für_Einstufung!"&amp;AL$1&amp;$AG132),2,20)*1)</f>
        <v>763</v>
      </c>
      <c r="S132" s="131"/>
      <c r="T132" s="131">
        <f ca="1">IF(OR(ISNUMBER(INDIRECT("für_Einstufung!"&amp;AN$1&amp;$AG132)),INDIRECT("für_Einstufung!"&amp;AN$1&amp;$AG132)="n.b."),INDIRECT("für_Einstufung!"&amp;AN$1&amp;$AG132),MID(INDIRECT("für_Einstufung!"&amp;AN$1&amp;$AG132),2,20)*1)</f>
        <v>763</v>
      </c>
      <c r="U132" s="131"/>
      <c r="V132" s="157">
        <f ca="1">IF(OR(ISNUMBER(INDIRECT("für_Einstufung!"&amp;AP$1&amp;$AG132)),INDIRECT("für_Einstufung!"&amp;AP$1&amp;$AG132)="n.b."),INDIRECT("für_Einstufung!"&amp;AP$1&amp;$AG132),MID(INDIRECT("für_Einstufung!"&amp;AP$1&amp;$AG132),2,20)*1)</f>
        <v>763</v>
      </c>
      <c r="W132" s="156"/>
      <c r="X132" s="156"/>
      <c r="Y132" s="156"/>
      <c r="Z132" s="156"/>
      <c r="AA132" s="156"/>
      <c r="AB132" s="156"/>
      <c r="AC132" s="156"/>
      <c r="AD132" s="156"/>
      <c r="AE132" s="156"/>
      <c r="AG132" s="104">
        <v>70</v>
      </c>
      <c r="AH132" s="120" t="str">
        <f ca="1">INDIRECT("für_Einstufung!ai$"&amp;AG132)</f>
        <v>Pb_min_ges</v>
      </c>
    </row>
    <row r="133" spans="1:34" hidden="1" outlineLevel="1" thickBot="1" x14ac:dyDescent="0.35">
      <c r="A133" s="139" t="s">
        <v>31</v>
      </c>
      <c r="B133" s="151"/>
      <c r="C133" s="151"/>
      <c r="D133" s="150"/>
      <c r="E133" s="149"/>
      <c r="F133" s="148"/>
      <c r="G133" s="149"/>
      <c r="H133" s="149"/>
      <c r="I133" s="146"/>
      <c r="J133" s="146"/>
      <c r="K133" s="146"/>
      <c r="M133" s="113"/>
      <c r="N133" s="130">
        <f ca="1">IF(OR(ISNUMBER(INDIRECT("für_Einstufung!"&amp;AH$1&amp;$AG133)),INDIRECT("für_Einstufung!"&amp;AH$1&amp;$AG133)="n.b."),INDIRECT("für_Einstufung!"&amp;AH$1&amp;$AG133),MID(INDIRECT("für_Einstufung!"&amp;AH$1&amp;$AG133),2,20)*1)</f>
        <v>1130</v>
      </c>
      <c r="O133" s="131"/>
      <c r="P133" s="131">
        <f ca="1">IF(OR(ISNUMBER(INDIRECT("für_Einstufung!"&amp;AJ$1&amp;$AG133)),INDIRECT("für_Einstufung!"&amp;AJ$1&amp;$AG133)="n.b."),INDIRECT("für_Einstufung!"&amp;AJ$1&amp;$AG133),MID(INDIRECT("für_Einstufung!"&amp;AJ$1&amp;$AG133),2,20)*1)</f>
        <v>1120</v>
      </c>
      <c r="Q133" s="131"/>
      <c r="R133" s="131">
        <f ca="1">IF(OR(ISNUMBER(INDIRECT("für_Einstufung!"&amp;AL$1&amp;$AG133)),INDIRECT("für_Einstufung!"&amp;AL$1&amp;$AG133)="n.b."),INDIRECT("für_Einstufung!"&amp;AL$1&amp;$AG133),MID(INDIRECT("für_Einstufung!"&amp;AL$1&amp;$AG133),2,20)*1)</f>
        <v>1120</v>
      </c>
      <c r="S133" s="131"/>
      <c r="T133" s="131">
        <f ca="1">IF(OR(ISNUMBER(INDIRECT("für_Einstufung!"&amp;AN$1&amp;$AG133)),INDIRECT("für_Einstufung!"&amp;AN$1&amp;$AG133)="n.b."),INDIRECT("für_Einstufung!"&amp;AN$1&amp;$AG133),MID(INDIRECT("für_Einstufung!"&amp;AN$1&amp;$AG133),2,20)*1)</f>
        <v>1120</v>
      </c>
      <c r="U133" s="131"/>
      <c r="V133" s="157">
        <f ca="1">IF(OR(ISNUMBER(INDIRECT("für_Einstufung!"&amp;AP$1&amp;$AG133)),INDIRECT("für_Einstufung!"&amp;AP$1&amp;$AG133)="n.b."),INDIRECT("für_Einstufung!"&amp;AP$1&amp;$AG133),MID(INDIRECT("für_Einstufung!"&amp;AP$1&amp;$AG133),2,20)*1)</f>
        <v>1120</v>
      </c>
      <c r="W133" s="156"/>
      <c r="X133" s="156"/>
      <c r="Y133" s="156"/>
      <c r="Z133" s="156"/>
      <c r="AA133" s="156"/>
      <c r="AB133" s="156"/>
      <c r="AC133" s="156"/>
      <c r="AD133" s="156"/>
      <c r="AE133" s="156"/>
      <c r="AG133" s="104">
        <v>71</v>
      </c>
      <c r="AH133" s="120" t="str">
        <f ca="1">INDIRECT("für_Einstufung!ai$"&amp;AG133)</f>
        <v>Zn_min_ges</v>
      </c>
    </row>
    <row r="134" spans="1:34" hidden="1" outlineLevel="1" thickBot="1" x14ac:dyDescent="0.3">
      <c r="A134" s="152" t="s">
        <v>104</v>
      </c>
      <c r="B134" s="151"/>
      <c r="C134" s="151"/>
      <c r="D134" s="150"/>
      <c r="E134" s="149"/>
      <c r="F134" s="148"/>
      <c r="G134" s="149"/>
      <c r="H134" s="149"/>
      <c r="I134" s="146"/>
      <c r="J134" s="146"/>
      <c r="K134" s="146"/>
      <c r="L134" s="145"/>
      <c r="M134" s="144"/>
      <c r="N134" s="144"/>
      <c r="O134" s="144"/>
      <c r="P134" s="144"/>
      <c r="Q134" s="144"/>
      <c r="R134" s="144"/>
      <c r="S134" s="144"/>
      <c r="T134" s="144"/>
      <c r="U134" s="144"/>
      <c r="V134" s="144"/>
      <c r="W134" s="142"/>
      <c r="X134" s="142"/>
      <c r="Y134" s="142"/>
      <c r="Z134" s="142"/>
      <c r="AA134" s="142"/>
      <c r="AB134" s="142"/>
      <c r="AC134" s="142"/>
      <c r="AD134" s="142"/>
      <c r="AE134" s="141"/>
    </row>
    <row r="135" spans="1:34" ht="28.2" hidden="1" outlineLevel="1" thickBot="1" x14ac:dyDescent="0.3">
      <c r="A135" s="139" t="s">
        <v>33</v>
      </c>
      <c r="B135" s="138" t="s">
        <v>103</v>
      </c>
      <c r="C135" s="151" t="str">
        <f>A135</f>
        <v>Cu</v>
      </c>
      <c r="D135" s="150"/>
      <c r="E135" s="149"/>
      <c r="F135" s="148"/>
      <c r="G135" s="149"/>
      <c r="H135" s="149"/>
      <c r="I135" s="146"/>
      <c r="J135" s="146"/>
      <c r="K135" s="146"/>
      <c r="L135" s="145"/>
      <c r="M135" s="144"/>
      <c r="N135" s="130">
        <f t="shared" ref="N135:V135" ca="1" si="34">IFERROR(N130*0.7,"n.b.")</f>
        <v>285.59999999999997</v>
      </c>
      <c r="O135" s="130">
        <f t="shared" si="34"/>
        <v>0</v>
      </c>
      <c r="P135" s="130">
        <f t="shared" ca="1" si="34"/>
        <v>282.79999999999995</v>
      </c>
      <c r="Q135" s="130">
        <f t="shared" si="34"/>
        <v>0</v>
      </c>
      <c r="R135" s="130">
        <f t="shared" ca="1" si="34"/>
        <v>282.79999999999995</v>
      </c>
      <c r="S135" s="130">
        <f t="shared" si="34"/>
        <v>0</v>
      </c>
      <c r="T135" s="130">
        <f t="shared" ca="1" si="34"/>
        <v>282.79999999999995</v>
      </c>
      <c r="U135" s="130">
        <f t="shared" si="34"/>
        <v>0</v>
      </c>
      <c r="V135" s="130">
        <f t="shared" ca="1" si="34"/>
        <v>282.79999999999995</v>
      </c>
      <c r="W135" s="156"/>
      <c r="X135" s="156"/>
      <c r="Y135" s="156"/>
      <c r="Z135" s="156"/>
      <c r="AA135" s="156"/>
      <c r="AB135" s="156"/>
      <c r="AC135" s="156"/>
      <c r="AD135" s="156"/>
      <c r="AE135" s="156"/>
      <c r="AG135" s="104">
        <v>74</v>
      </c>
      <c r="AH135" s="120" t="str">
        <f ca="1">INDIRECT("für_Einstufung!ai$"&amp;AG135)</f>
        <v>Cu_Stoffgr. 1</v>
      </c>
    </row>
    <row r="136" spans="1:34" ht="28.2" hidden="1" outlineLevel="1" thickBot="1" x14ac:dyDescent="0.3">
      <c r="A136" s="139" t="s">
        <v>32</v>
      </c>
      <c r="B136" s="138" t="s">
        <v>103</v>
      </c>
      <c r="C136" s="151" t="str">
        <f>A136</f>
        <v>Ni</v>
      </c>
      <c r="D136" s="150"/>
      <c r="E136" s="149"/>
      <c r="F136" s="148"/>
      <c r="G136" s="149"/>
      <c r="H136" s="149"/>
      <c r="I136" s="146"/>
      <c r="J136" s="146"/>
      <c r="K136" s="146"/>
      <c r="L136" s="145"/>
      <c r="M136" s="144"/>
      <c r="N136" s="130">
        <f t="shared" ref="N136:V136" ca="1" si="35">IFERROR(N132*0.6,"n.b.")</f>
        <v>462.59999999999997</v>
      </c>
      <c r="O136" s="130">
        <f t="shared" si="35"/>
        <v>0</v>
      </c>
      <c r="P136" s="130">
        <f t="shared" ca="1" si="35"/>
        <v>457.8</v>
      </c>
      <c r="Q136" s="130">
        <f t="shared" si="35"/>
        <v>0</v>
      </c>
      <c r="R136" s="130">
        <f t="shared" ca="1" si="35"/>
        <v>457.8</v>
      </c>
      <c r="S136" s="130">
        <f t="shared" si="35"/>
        <v>0</v>
      </c>
      <c r="T136" s="130">
        <f t="shared" ca="1" si="35"/>
        <v>457.8</v>
      </c>
      <c r="U136" s="130">
        <f t="shared" si="35"/>
        <v>0</v>
      </c>
      <c r="V136" s="130">
        <f t="shared" ca="1" si="35"/>
        <v>457.8</v>
      </c>
      <c r="W136" s="156"/>
      <c r="X136" s="156"/>
      <c r="Y136" s="156"/>
      <c r="Z136" s="156"/>
      <c r="AA136" s="156"/>
      <c r="AB136" s="156"/>
      <c r="AC136" s="156"/>
      <c r="AD136" s="156"/>
      <c r="AE136" s="156"/>
      <c r="AG136" s="104">
        <v>75</v>
      </c>
      <c r="AH136" s="120" t="str">
        <f ca="1">INDIRECT("für_Einstufung!ai$"&amp;AG136)</f>
        <v>Ni_Stoffgr. 1</v>
      </c>
    </row>
    <row r="137" spans="1:34" ht="28.2" hidden="1" outlineLevel="1" thickBot="1" x14ac:dyDescent="0.3">
      <c r="A137" s="139" t="s">
        <v>31</v>
      </c>
      <c r="B137" s="138" t="s">
        <v>103</v>
      </c>
      <c r="C137" s="151" t="str">
        <f>A137</f>
        <v>Pb</v>
      </c>
      <c r="D137" s="137">
        <v>1E-3</v>
      </c>
      <c r="E137" s="136">
        <v>2.5000000000000001E-3</v>
      </c>
      <c r="F137" s="135">
        <v>1</v>
      </c>
      <c r="G137" s="134">
        <f>D137/F137</f>
        <v>1E-3</v>
      </c>
      <c r="H137" s="134">
        <f>G137*E137/D137</f>
        <v>2.5000000000000001E-3</v>
      </c>
      <c r="I137" s="133" t="s">
        <v>96</v>
      </c>
      <c r="J137" s="131">
        <f>ROUND(G137*1000000,-1)</f>
        <v>1000</v>
      </c>
      <c r="K137" s="131">
        <f>ROUND(H137*1000000,-1)</f>
        <v>2500</v>
      </c>
      <c r="L137" s="132">
        <f ca="1">INDIRECT("für_Einstufung!A"&amp;M137)</f>
        <v>0</v>
      </c>
      <c r="M137" s="131">
        <v>68</v>
      </c>
      <c r="N137" s="130">
        <f t="shared" ref="N137:V137" ca="1" si="36">IFERROR(N133*0.4,"n.b.")</f>
        <v>452</v>
      </c>
      <c r="O137" s="130">
        <f t="shared" si="36"/>
        <v>0</v>
      </c>
      <c r="P137" s="130">
        <f t="shared" ca="1" si="36"/>
        <v>448</v>
      </c>
      <c r="Q137" s="130">
        <f t="shared" si="36"/>
        <v>0</v>
      </c>
      <c r="R137" s="130">
        <f t="shared" ca="1" si="36"/>
        <v>448</v>
      </c>
      <c r="S137" s="130">
        <f t="shared" si="36"/>
        <v>0</v>
      </c>
      <c r="T137" s="130">
        <f t="shared" ca="1" si="36"/>
        <v>448</v>
      </c>
      <c r="U137" s="130">
        <f t="shared" si="36"/>
        <v>0</v>
      </c>
      <c r="V137" s="130">
        <f t="shared" ca="1" si="36"/>
        <v>448</v>
      </c>
      <c r="W137" s="140" t="str">
        <f ca="1">IF(N137="n.b.","n.b.",IF(N137*0.000001&lt;$G137,"&lt; Bgr.",N137*0.000001/$H137))</f>
        <v>&lt; Bgr.</v>
      </c>
      <c r="X137" s="140"/>
      <c r="Y137" s="140" t="str">
        <f ca="1">IF(P137="n.b.","n.b.",IF(P137*0.000001&lt;$G137,"&lt; Bgr.",P137*0.000001/$H137))</f>
        <v>&lt; Bgr.</v>
      </c>
      <c r="Z137" s="140"/>
      <c r="AA137" s="140" t="str">
        <f ca="1">IF(R137="n.b.","n.b.",IF(R137*0.000001&lt;$G137,"&lt; Bgr.",R137*0.000001/$H137))</f>
        <v>&lt; Bgr.</v>
      </c>
      <c r="AB137" s="140"/>
      <c r="AC137" s="140" t="str">
        <f ca="1">IF(T137="n.b.","n.b.",IF(T137*0.000001&lt;$G137,"&lt; Bgr.",T137*0.000001/$H137))</f>
        <v>&lt; Bgr.</v>
      </c>
      <c r="AD137" s="140"/>
      <c r="AE137" s="140" t="str">
        <f ca="1">IF(V137="n.b.","n.b.",IF(V137*0.000001&lt;$G137,"&lt; Bgr.",V137*0.000001/$H137))</f>
        <v>&lt; Bgr.</v>
      </c>
      <c r="AG137" s="104">
        <v>76</v>
      </c>
      <c r="AH137" s="120" t="str">
        <f ca="1">INDIRECT("für_Einstufung!ai$"&amp;AG137)</f>
        <v>Pb_Stoffgr. 1</v>
      </c>
    </row>
    <row r="138" spans="1:34" ht="28.2" hidden="1" outlineLevel="1" thickBot="1" x14ac:dyDescent="0.3">
      <c r="A138" s="139" t="s">
        <v>30</v>
      </c>
      <c r="B138" s="138" t="s">
        <v>103</v>
      </c>
      <c r="C138" s="151" t="str">
        <f>A138</f>
        <v>Zn</v>
      </c>
      <c r="D138" s="150"/>
      <c r="E138" s="149"/>
      <c r="F138" s="148"/>
      <c r="G138" s="149"/>
      <c r="H138" s="149"/>
      <c r="I138" s="146"/>
      <c r="J138" s="146"/>
      <c r="K138" s="146"/>
      <c r="L138" s="145"/>
      <c r="M138" s="144"/>
      <c r="N138" s="130">
        <f t="shared" ref="N138:V138" ca="1" si="37">IFERROR(N131*0.5,"n.b.")</f>
        <v>340</v>
      </c>
      <c r="O138" s="130">
        <f t="shared" si="37"/>
        <v>0</v>
      </c>
      <c r="P138" s="130">
        <f t="shared" ca="1" si="37"/>
        <v>337</v>
      </c>
      <c r="Q138" s="130">
        <f t="shared" si="37"/>
        <v>0</v>
      </c>
      <c r="R138" s="130">
        <f t="shared" ca="1" si="37"/>
        <v>337</v>
      </c>
      <c r="S138" s="130">
        <f t="shared" si="37"/>
        <v>0</v>
      </c>
      <c r="T138" s="130">
        <f t="shared" ca="1" si="37"/>
        <v>337</v>
      </c>
      <c r="U138" s="130">
        <f t="shared" si="37"/>
        <v>0</v>
      </c>
      <c r="V138" s="130">
        <f t="shared" ca="1" si="37"/>
        <v>337</v>
      </c>
      <c r="W138" s="156"/>
      <c r="X138" s="156"/>
      <c r="Y138" s="156"/>
      <c r="Z138" s="156"/>
      <c r="AA138" s="156"/>
      <c r="AB138" s="156"/>
      <c r="AC138" s="156"/>
      <c r="AD138" s="156"/>
      <c r="AE138" s="156"/>
      <c r="AG138" s="104">
        <v>77</v>
      </c>
      <c r="AH138" s="120" t="str">
        <f ca="1">INDIRECT("für_Einstufung!ai$"&amp;AG138)</f>
        <v>Zn_Stoffgr. 1</v>
      </c>
    </row>
    <row r="139" spans="1:34" s="121" customFormat="1" hidden="1" outlineLevel="1" thickBot="1" x14ac:dyDescent="0.35">
      <c r="A139" s="155" t="s">
        <v>102</v>
      </c>
      <c r="B139" s="153"/>
      <c r="G139" s="154"/>
      <c r="H139" s="154"/>
      <c r="L139" s="153"/>
      <c r="V139" s="124"/>
      <c r="W139" s="123">
        <f ca="1">SUM(W137:W137)</f>
        <v>0</v>
      </c>
      <c r="X139" s="122"/>
      <c r="Y139" s="122">
        <f ca="1">SUM(Y137:Y137)</f>
        <v>0</v>
      </c>
      <c r="Z139" s="122"/>
      <c r="AA139" s="122">
        <f ca="1">SUM(AA137:AA137)</f>
        <v>0</v>
      </c>
      <c r="AB139" s="122"/>
      <c r="AC139" s="122">
        <f ca="1">SUM(AC137:AC137)</f>
        <v>0</v>
      </c>
      <c r="AD139" s="122"/>
      <c r="AE139" s="122">
        <f ca="1">SUM(AE137:AE137)</f>
        <v>0</v>
      </c>
      <c r="AF139" s="93"/>
      <c r="AG139" s="104"/>
      <c r="AH139" s="120"/>
    </row>
    <row r="140" spans="1:34" hidden="1" outlineLevel="1" thickBot="1" x14ac:dyDescent="0.3">
      <c r="A140" s="152" t="s">
        <v>101</v>
      </c>
      <c r="B140" s="151"/>
      <c r="C140" s="151"/>
      <c r="D140" s="150"/>
      <c r="E140" s="149"/>
      <c r="F140" s="148"/>
      <c r="G140" s="147"/>
      <c r="H140" s="147"/>
      <c r="I140" s="146"/>
      <c r="J140" s="146"/>
      <c r="K140" s="146"/>
      <c r="L140" s="145"/>
      <c r="M140" s="144"/>
      <c r="N140" s="144"/>
      <c r="O140" s="144"/>
      <c r="P140" s="144"/>
      <c r="Q140" s="144"/>
      <c r="R140" s="144"/>
      <c r="S140" s="144"/>
      <c r="T140" s="144"/>
      <c r="U140" s="144"/>
      <c r="V140" s="143"/>
      <c r="W140" s="142"/>
      <c r="X140" s="142"/>
      <c r="Y140" s="142"/>
      <c r="Z140" s="142"/>
      <c r="AA140" s="142"/>
      <c r="AB140" s="142"/>
      <c r="AC140" s="142"/>
      <c r="AD140" s="142"/>
      <c r="AE140" s="141"/>
      <c r="AH140" s="120"/>
    </row>
    <row r="141" spans="1:34" ht="28.2" hidden="1" outlineLevel="1" thickBot="1" x14ac:dyDescent="0.3">
      <c r="A141" s="139" t="s">
        <v>33</v>
      </c>
      <c r="B141" s="138" t="s">
        <v>98</v>
      </c>
      <c r="C141" s="138" t="s">
        <v>100</v>
      </c>
      <c r="D141" s="137">
        <v>1E-3</v>
      </c>
      <c r="E141" s="136">
        <v>2.5000000000000001E-3</v>
      </c>
      <c r="F141" s="135">
        <v>1.754</v>
      </c>
      <c r="G141" s="134">
        <f>D141/F141</f>
        <v>5.7012542759407071E-4</v>
      </c>
      <c r="H141" s="134">
        <f>G141*E141/D141</f>
        <v>1.4253135689851768E-3</v>
      </c>
      <c r="I141" s="133" t="s">
        <v>96</v>
      </c>
      <c r="J141" s="131">
        <f>ROUND(G141*1000000,0)</f>
        <v>570</v>
      </c>
      <c r="K141" s="131">
        <f>ROUND(H141*1000000,-1)</f>
        <v>1430</v>
      </c>
      <c r="L141" s="132">
        <f ca="1">INDIRECT("für_Einstufung!A"&amp;M141)</f>
        <v>0</v>
      </c>
      <c r="M141" s="131">
        <v>70</v>
      </c>
      <c r="N141" s="130">
        <f t="shared" ref="N141:V141" ca="1" si="38">IFERROR(N130-N135,"n.b.")</f>
        <v>122.40000000000003</v>
      </c>
      <c r="O141" s="130">
        <f t="shared" si="38"/>
        <v>0</v>
      </c>
      <c r="P141" s="130">
        <f t="shared" ca="1" si="38"/>
        <v>121.20000000000005</v>
      </c>
      <c r="Q141" s="130">
        <f t="shared" si="38"/>
        <v>0</v>
      </c>
      <c r="R141" s="130">
        <f t="shared" ca="1" si="38"/>
        <v>121.20000000000005</v>
      </c>
      <c r="S141" s="130">
        <f t="shared" si="38"/>
        <v>0</v>
      </c>
      <c r="T141" s="130">
        <f t="shared" ca="1" si="38"/>
        <v>121.20000000000005</v>
      </c>
      <c r="U141" s="130">
        <f t="shared" si="38"/>
        <v>0</v>
      </c>
      <c r="V141" s="130">
        <f t="shared" ca="1" si="38"/>
        <v>121.20000000000005</v>
      </c>
      <c r="W141" s="140" t="str">
        <f ca="1">IF(N141="n.b.","n.b.",IF(N141*0.000001&lt;$G141,"&lt; Bgr.",N141*0.000001/$H141))</f>
        <v>&lt; Bgr.</v>
      </c>
      <c r="X141" s="140"/>
      <c r="Y141" s="140" t="str">
        <f ca="1">IF(P141="n.b.","n.b.",IF(P141*0.000001&lt;$G141,"&lt; Bgr.",P141*0.000001/$H141))</f>
        <v>&lt; Bgr.</v>
      </c>
      <c r="Z141" s="140"/>
      <c r="AA141" s="140" t="str">
        <f ca="1">IF(R141="n.b.","n.b.",IF(R141*0.000001&lt;$G141,"&lt; Bgr.",R141*0.000001/$H141))</f>
        <v>&lt; Bgr.</v>
      </c>
      <c r="AB141" s="140"/>
      <c r="AC141" s="140" t="str">
        <f ca="1">IF(T141="n.b.","n.b.",IF(T141*0.000001&lt;$G141,"&lt; Bgr.",T141*0.000001/$H141))</f>
        <v>&lt; Bgr.</v>
      </c>
      <c r="AD141" s="140"/>
      <c r="AE141" s="140" t="str">
        <f ca="1">IF(V141="n.b.","n.b.",IF(V141*0.000001&lt;$G141,"&lt; Bgr.",V141*0.000001/$H141))</f>
        <v>&lt; Bgr.</v>
      </c>
      <c r="AG141" s="104">
        <v>79</v>
      </c>
      <c r="AH141" s="120" t="str">
        <f ca="1">INDIRECT("für_Einstufung!ai$"&amp;AG141)</f>
        <v>Cu_Stoffgr. 2</v>
      </c>
    </row>
    <row r="142" spans="1:34" ht="28.2" hidden="1" outlineLevel="1" thickBot="1" x14ac:dyDescent="0.3">
      <c r="A142" s="139" t="s">
        <v>32</v>
      </c>
      <c r="B142" s="138" t="s">
        <v>98</v>
      </c>
      <c r="C142" s="138" t="s">
        <v>99</v>
      </c>
      <c r="D142" s="137">
        <v>1E-3</v>
      </c>
      <c r="E142" s="136">
        <v>2.5000000000000001E-3</v>
      </c>
      <c r="F142" s="135">
        <v>2.0219999999999998</v>
      </c>
      <c r="G142" s="134">
        <f>D142/F142</f>
        <v>4.9455984174085073E-4</v>
      </c>
      <c r="H142" s="134">
        <f>G142*E142/D142</f>
        <v>1.2363996043521267E-3</v>
      </c>
      <c r="I142" s="133" t="s">
        <v>96</v>
      </c>
      <c r="J142" s="131">
        <f>ROUND(G142*1000000,0)</f>
        <v>495</v>
      </c>
      <c r="K142" s="131">
        <f>ROUND(H142*1000000,-1)</f>
        <v>1240</v>
      </c>
      <c r="L142" s="132">
        <f ca="1">INDIRECT("für_Einstufung!A"&amp;M142)</f>
        <v>0</v>
      </c>
      <c r="M142" s="131">
        <v>72</v>
      </c>
      <c r="N142" s="130">
        <f t="shared" ref="N142:V142" ca="1" si="39">IFERROR(N132-N136,"n.b.")</f>
        <v>308.40000000000003</v>
      </c>
      <c r="O142" s="130">
        <f t="shared" si="39"/>
        <v>0</v>
      </c>
      <c r="P142" s="130">
        <f t="shared" ca="1" si="39"/>
        <v>305.2</v>
      </c>
      <c r="Q142" s="130">
        <f t="shared" si="39"/>
        <v>0</v>
      </c>
      <c r="R142" s="130">
        <f t="shared" ca="1" si="39"/>
        <v>305.2</v>
      </c>
      <c r="S142" s="130">
        <f t="shared" si="39"/>
        <v>0</v>
      </c>
      <c r="T142" s="130">
        <f t="shared" ca="1" si="39"/>
        <v>305.2</v>
      </c>
      <c r="U142" s="130">
        <f t="shared" si="39"/>
        <v>0</v>
      </c>
      <c r="V142" s="130">
        <f t="shared" ca="1" si="39"/>
        <v>305.2</v>
      </c>
      <c r="W142" s="140" t="str">
        <f ca="1">IF(N142="n.b.","n.b.",IF(N142*0.000001&lt;$G142,"&lt; Bgr.",N142*0.000001/$H142))</f>
        <v>&lt; Bgr.</v>
      </c>
      <c r="X142" s="140"/>
      <c r="Y142" s="140" t="str">
        <f ca="1">IF(P142="n.b.","n.b.",IF(P142*0.000001&lt;$G142,"&lt; Bgr.",P142*0.000001/$H142))</f>
        <v>&lt; Bgr.</v>
      </c>
      <c r="Z142" s="140"/>
      <c r="AA142" s="140" t="str">
        <f ca="1">IF(R142="n.b.","n.b.",IF(R142*0.000001&lt;$G142,"&lt; Bgr.",R142*0.000001/$H142))</f>
        <v>&lt; Bgr.</v>
      </c>
      <c r="AB142" s="140"/>
      <c r="AC142" s="140" t="str">
        <f ca="1">IF(T142="n.b.","n.b.",IF(T142*0.000001&lt;$G142,"&lt; Bgr.",T142*0.000001/$H142))</f>
        <v>&lt; Bgr.</v>
      </c>
      <c r="AD142" s="140"/>
      <c r="AE142" s="140" t="str">
        <f ca="1">IF(V142="n.b.","n.b.",IF(V142*0.000001&lt;$G142,"&lt; Bgr.",V142*0.000001/$H142))</f>
        <v>&lt; Bgr.</v>
      </c>
      <c r="AG142" s="104">
        <v>80</v>
      </c>
      <c r="AH142" s="120" t="str">
        <f ca="1">INDIRECT("für_Einstufung!ai$"&amp;AG142)</f>
        <v>Ni_Stoffgr. 2</v>
      </c>
    </row>
    <row r="143" spans="1:34" ht="28.2" hidden="1" outlineLevel="1" thickBot="1" x14ac:dyDescent="0.3">
      <c r="A143" s="139" t="s">
        <v>31</v>
      </c>
      <c r="B143" s="138" t="s">
        <v>98</v>
      </c>
      <c r="C143" s="138" t="s">
        <v>31</v>
      </c>
      <c r="D143" s="137">
        <v>1E-3</v>
      </c>
      <c r="E143" s="136">
        <v>2.5000000000000001E-3</v>
      </c>
      <c r="F143" s="135">
        <v>1</v>
      </c>
      <c r="G143" s="134">
        <f>D143/F143</f>
        <v>1E-3</v>
      </c>
      <c r="H143" s="134">
        <f>G143*E143/D143</f>
        <v>2.5000000000000001E-3</v>
      </c>
      <c r="I143" s="133" t="s">
        <v>96</v>
      </c>
      <c r="J143" s="131">
        <f>ROUND(G143*1000000,-1)</f>
        <v>1000</v>
      </c>
      <c r="K143" s="131">
        <f>ROUND(H143*1000000,-1)</f>
        <v>2500</v>
      </c>
      <c r="L143" s="132">
        <f ca="1">INDIRECT("für_Einstufung!A"&amp;M143)</f>
        <v>0</v>
      </c>
      <c r="M143" s="131">
        <v>73</v>
      </c>
      <c r="N143" s="130">
        <f t="shared" ref="N143:V143" ca="1" si="40">IFERROR(N133-N137,"n.b.")</f>
        <v>678</v>
      </c>
      <c r="O143" s="130">
        <f t="shared" si="40"/>
        <v>0</v>
      </c>
      <c r="P143" s="130">
        <f t="shared" ca="1" si="40"/>
        <v>672</v>
      </c>
      <c r="Q143" s="130">
        <f t="shared" si="40"/>
        <v>0</v>
      </c>
      <c r="R143" s="130">
        <f t="shared" ca="1" si="40"/>
        <v>672</v>
      </c>
      <c r="S143" s="130">
        <f t="shared" si="40"/>
        <v>0</v>
      </c>
      <c r="T143" s="130">
        <f t="shared" ca="1" si="40"/>
        <v>672</v>
      </c>
      <c r="U143" s="130">
        <f t="shared" si="40"/>
        <v>0</v>
      </c>
      <c r="V143" s="130">
        <f t="shared" ca="1" si="40"/>
        <v>672</v>
      </c>
      <c r="W143" s="140" t="str">
        <f ca="1">IF(N143="n.b.","n.b.",IF(N143*0.000001&lt;$G143,"&lt; Bgr.",N143*0.000001/$H143))</f>
        <v>&lt; Bgr.</v>
      </c>
      <c r="X143" s="140"/>
      <c r="Y143" s="140" t="str">
        <f ca="1">IF(P143="n.b.","n.b.",IF(P143*0.000001&lt;$G143,"&lt; Bgr.",P143*0.000001/$H143))</f>
        <v>&lt; Bgr.</v>
      </c>
      <c r="Z143" s="140"/>
      <c r="AA143" s="140" t="str">
        <f ca="1">IF(R143="n.b.","n.b.",IF(R143*0.000001&lt;$G143,"&lt; Bgr.",R143*0.000001/$H143))</f>
        <v>&lt; Bgr.</v>
      </c>
      <c r="AB143" s="140"/>
      <c r="AC143" s="140" t="str">
        <f ca="1">IF(T143="n.b.","n.b.",IF(T143*0.000001&lt;$G143,"&lt; Bgr.",T143*0.000001/$H143))</f>
        <v>&lt; Bgr.</v>
      </c>
      <c r="AD143" s="140"/>
      <c r="AE143" s="140" t="str">
        <f ca="1">IF(V143="n.b.","n.b.",IF(V143*0.000001&lt;$G143,"&lt; Bgr.",V143*0.000001/$H143))</f>
        <v>&lt; Bgr.</v>
      </c>
      <c r="AG143" s="104">
        <v>81</v>
      </c>
      <c r="AH143" s="120" t="str">
        <f ca="1">INDIRECT("für_Einstufung!ai$"&amp;AG143)</f>
        <v>Pb_Stoffgr. 2</v>
      </c>
    </row>
    <row r="144" spans="1:34" ht="28.2" hidden="1" outlineLevel="1" thickBot="1" x14ac:dyDescent="0.3">
      <c r="A144" s="139" t="s">
        <v>30</v>
      </c>
      <c r="B144" s="138" t="s">
        <v>98</v>
      </c>
      <c r="C144" s="138" t="s">
        <v>97</v>
      </c>
      <c r="D144" s="137">
        <v>1E-3</v>
      </c>
      <c r="E144" s="136">
        <v>2.5000000000000001E-3</v>
      </c>
      <c r="F144" s="135">
        <v>1.2450000000000001</v>
      </c>
      <c r="G144" s="134">
        <f>D144/F144</f>
        <v>8.0321285140562242E-4</v>
      </c>
      <c r="H144" s="134">
        <f>G144*E144/D144</f>
        <v>2.008032128514056E-3</v>
      </c>
      <c r="I144" s="133" t="s">
        <v>96</v>
      </c>
      <c r="J144" s="131">
        <f>ROUND(G144*1000000,0)</f>
        <v>803</v>
      </c>
      <c r="K144" s="131">
        <f>ROUND(H144*1000000,-1)</f>
        <v>2010</v>
      </c>
      <c r="L144" s="132">
        <f ca="1">INDIRECT("für_Einstufung!A"&amp;M144)</f>
        <v>0</v>
      </c>
      <c r="M144" s="131">
        <v>71</v>
      </c>
      <c r="N144" s="130">
        <f t="shared" ref="N144:V144" ca="1" si="41">IFERROR(N131-N138,"n.b.")</f>
        <v>340</v>
      </c>
      <c r="O144" s="130">
        <f t="shared" si="41"/>
        <v>0</v>
      </c>
      <c r="P144" s="130">
        <f t="shared" ca="1" si="41"/>
        <v>337</v>
      </c>
      <c r="Q144" s="130">
        <f t="shared" si="41"/>
        <v>0</v>
      </c>
      <c r="R144" s="130">
        <f t="shared" ca="1" si="41"/>
        <v>337</v>
      </c>
      <c r="S144" s="130">
        <f t="shared" si="41"/>
        <v>0</v>
      </c>
      <c r="T144" s="130">
        <f t="shared" ca="1" si="41"/>
        <v>337</v>
      </c>
      <c r="U144" s="130">
        <f t="shared" si="41"/>
        <v>0</v>
      </c>
      <c r="V144" s="130">
        <f t="shared" ca="1" si="41"/>
        <v>337</v>
      </c>
      <c r="W144" s="129" t="str">
        <f ca="1">IF(N144="n.b.","n.b.",IF(N144*0.000001&lt;$G144,"&lt; Bgr.",N144*0.000001/$H144))</f>
        <v>&lt; Bgr.</v>
      </c>
      <c r="X144" s="129"/>
      <c r="Y144" s="129" t="str">
        <f ca="1">IF(P144="n.b.","n.b.",IF(P144*0.000001&lt;$G144,"&lt; Bgr.",P144*0.000001/$H144))</f>
        <v>&lt; Bgr.</v>
      </c>
      <c r="Z144" s="129"/>
      <c r="AA144" s="129" t="str">
        <f ca="1">IF(R144="n.b.","n.b.",IF(R144*0.000001&lt;$G144,"&lt; Bgr.",R144*0.000001/$H144))</f>
        <v>&lt; Bgr.</v>
      </c>
      <c r="AB144" s="129"/>
      <c r="AC144" s="129" t="str">
        <f ca="1">IF(T144="n.b.","n.b.",IF(T144*0.000001&lt;$G144,"&lt; Bgr.",T144*0.000001/$H144))</f>
        <v>&lt; Bgr.</v>
      </c>
      <c r="AD144" s="129"/>
      <c r="AE144" s="129" t="str">
        <f ca="1">IF(V144="n.b.","n.b.",IF(V144*0.000001&lt;$G144,"&lt; Bgr.",V144*0.000001/$H144))</f>
        <v>&lt; Bgr.</v>
      </c>
      <c r="AG144" s="104">
        <v>82</v>
      </c>
      <c r="AH144" s="120" t="str">
        <f ca="1">INDIRECT("für_Einstufung!ai$"&amp;AG144)</f>
        <v>Zn_Stoffgr. 2</v>
      </c>
    </row>
    <row r="145" spans="1:34" s="121" customFormat="1" hidden="1" outlineLevel="1" thickBot="1" x14ac:dyDescent="0.35">
      <c r="A145" s="128" t="s">
        <v>95</v>
      </c>
      <c r="B145" s="126"/>
      <c r="C145" s="125"/>
      <c r="D145" s="125"/>
      <c r="E145" s="125"/>
      <c r="F145" s="125"/>
      <c r="G145" s="127"/>
      <c r="H145" s="127"/>
      <c r="I145" s="125"/>
      <c r="J145" s="125"/>
      <c r="K145" s="125"/>
      <c r="L145" s="126"/>
      <c r="M145" s="125"/>
      <c r="N145" s="125"/>
      <c r="O145" s="125"/>
      <c r="P145" s="125"/>
      <c r="Q145" s="125"/>
      <c r="R145" s="125"/>
      <c r="S145" s="125"/>
      <c r="T145" s="125"/>
      <c r="V145" s="124"/>
      <c r="W145" s="123">
        <f ca="1">SUM(W141:W144)</f>
        <v>0</v>
      </c>
      <c r="X145" s="122"/>
      <c r="Y145" s="122">
        <f ca="1">SUM(Y141:Y144)</f>
        <v>0</v>
      </c>
      <c r="Z145" s="122"/>
      <c r="AA145" s="122">
        <f ca="1">SUM(AA141:AA144)</f>
        <v>0</v>
      </c>
      <c r="AB145" s="122"/>
      <c r="AC145" s="122">
        <f ca="1">SUM(AC141:AC144)</f>
        <v>0</v>
      </c>
      <c r="AD145" s="122"/>
      <c r="AE145" s="122">
        <f ca="1">SUM(AE141:AE144)</f>
        <v>0</v>
      </c>
      <c r="AF145" s="93"/>
      <c r="AG145" s="104"/>
      <c r="AH145" s="120"/>
    </row>
    <row r="146" spans="1:34" ht="13.8" hidden="1" outlineLevel="1" x14ac:dyDescent="0.3">
      <c r="A146" s="93"/>
      <c r="B146" s="93"/>
      <c r="I146" s="93"/>
      <c r="J146" s="93"/>
      <c r="M146" s="113"/>
      <c r="N146" s="113"/>
      <c r="O146" s="113"/>
      <c r="P146" s="113"/>
      <c r="Q146" s="113"/>
      <c r="R146" s="113"/>
      <c r="S146" s="113"/>
      <c r="T146" s="113"/>
      <c r="U146" s="113"/>
      <c r="V146" s="113"/>
      <c r="W146" s="112"/>
      <c r="X146" s="112"/>
      <c r="Y146" s="112"/>
      <c r="Z146" s="112"/>
      <c r="AA146" s="112"/>
      <c r="AB146" s="112"/>
      <c r="AC146" s="112"/>
      <c r="AD146" s="112"/>
      <c r="AE146" s="112"/>
      <c r="AH146" s="120"/>
    </row>
    <row r="147" spans="1:34" ht="13.8" collapsed="1" x14ac:dyDescent="0.3">
      <c r="A147" s="93"/>
      <c r="B147" s="93"/>
      <c r="I147" s="93"/>
      <c r="J147" s="93"/>
      <c r="M147" s="113"/>
      <c r="N147" s="113"/>
      <c r="O147" s="113"/>
      <c r="P147" s="113"/>
      <c r="Q147" s="113"/>
      <c r="R147" s="113"/>
      <c r="S147" s="113"/>
      <c r="T147" s="113"/>
      <c r="U147" s="113"/>
      <c r="V147" s="113"/>
      <c r="W147" s="112"/>
      <c r="X147" s="112"/>
      <c r="Y147" s="112"/>
      <c r="Z147" s="112"/>
      <c r="AA147" s="112"/>
      <c r="AB147" s="112"/>
      <c r="AC147" s="112"/>
      <c r="AD147" s="112"/>
      <c r="AE147" s="112"/>
      <c r="AH147" s="120"/>
    </row>
    <row r="148" spans="1:34" ht="13.8" x14ac:dyDescent="0.3">
      <c r="A148" s="93"/>
      <c r="B148" s="93"/>
      <c r="I148" s="93"/>
      <c r="J148" s="93"/>
      <c r="M148" s="113"/>
      <c r="N148" s="113"/>
      <c r="O148" s="113"/>
      <c r="P148" s="113"/>
      <c r="Q148" s="113"/>
      <c r="R148" s="113"/>
      <c r="S148" s="113"/>
      <c r="T148" s="113"/>
      <c r="U148" s="113"/>
      <c r="V148" s="113"/>
      <c r="W148" s="112"/>
      <c r="X148" s="112"/>
      <c r="Y148" s="112"/>
      <c r="Z148" s="112"/>
      <c r="AA148" s="112"/>
      <c r="AB148" s="112"/>
      <c r="AC148" s="112"/>
      <c r="AD148" s="112"/>
      <c r="AE148" s="112"/>
      <c r="AH148" s="93"/>
    </row>
    <row r="149" spans="1:34" ht="13.8" x14ac:dyDescent="0.3">
      <c r="A149" s="93"/>
      <c r="B149" s="93"/>
      <c r="I149" s="93"/>
      <c r="J149" s="93"/>
      <c r="M149" s="113"/>
      <c r="N149" s="113"/>
      <c r="O149" s="113"/>
      <c r="P149" s="113"/>
      <c r="Q149" s="113"/>
      <c r="R149" s="113"/>
      <c r="S149" s="113"/>
      <c r="T149" s="113"/>
      <c r="U149" s="113"/>
      <c r="V149" s="113"/>
      <c r="W149" s="112"/>
      <c r="X149" s="112"/>
      <c r="Y149" s="112"/>
      <c r="Z149" s="112"/>
      <c r="AA149" s="112"/>
      <c r="AB149" s="112"/>
      <c r="AC149" s="112"/>
      <c r="AD149" s="112"/>
      <c r="AE149" s="112"/>
      <c r="AH149" s="93"/>
    </row>
    <row r="150" spans="1:34" ht="13.8" x14ac:dyDescent="0.3">
      <c r="A150" s="93"/>
      <c r="B150" s="93"/>
      <c r="I150" s="93"/>
      <c r="J150" s="93"/>
      <c r="M150" s="113"/>
      <c r="N150" s="93"/>
      <c r="O150" s="113"/>
      <c r="P150" s="113"/>
      <c r="Q150" s="113"/>
      <c r="R150" s="113"/>
      <c r="S150" s="113"/>
      <c r="T150" s="113"/>
      <c r="U150" s="113"/>
      <c r="V150" s="113"/>
      <c r="W150" s="112"/>
      <c r="X150" s="112"/>
      <c r="Y150" s="112"/>
      <c r="Z150" s="112"/>
      <c r="AA150" s="112"/>
      <c r="AB150" s="112"/>
      <c r="AC150" s="112"/>
      <c r="AD150" s="112"/>
      <c r="AE150" s="112"/>
      <c r="AH150" s="93"/>
    </row>
    <row r="151" spans="1:34" ht="13.8" x14ac:dyDescent="0.3">
      <c r="A151" s="93"/>
      <c r="B151" s="93"/>
      <c r="I151" s="93"/>
      <c r="J151" s="93"/>
      <c r="M151" s="113"/>
      <c r="N151" s="93"/>
      <c r="O151" s="113"/>
      <c r="P151" s="113"/>
      <c r="Q151" s="113"/>
      <c r="R151" s="113"/>
      <c r="S151" s="113"/>
      <c r="T151" s="113"/>
      <c r="U151" s="113"/>
      <c r="V151" s="113"/>
      <c r="W151" s="112"/>
      <c r="X151" s="112"/>
      <c r="Y151" s="112"/>
      <c r="Z151" s="112"/>
      <c r="AA151" s="112"/>
      <c r="AB151" s="112"/>
      <c r="AC151" s="112"/>
      <c r="AD151" s="112"/>
      <c r="AE151" s="112"/>
      <c r="AG151" s="93"/>
      <c r="AH151" s="93"/>
    </row>
    <row r="152" spans="1:34" ht="13.8" x14ac:dyDescent="0.3">
      <c r="A152" s="93"/>
      <c r="B152" s="93"/>
      <c r="I152" s="93"/>
      <c r="J152" s="93"/>
      <c r="M152" s="113"/>
      <c r="N152" s="93"/>
      <c r="O152" s="113"/>
      <c r="P152" s="113"/>
      <c r="Q152" s="113"/>
      <c r="R152" s="113"/>
      <c r="S152" s="113"/>
      <c r="T152" s="113"/>
      <c r="U152" s="113"/>
      <c r="V152" s="113"/>
      <c r="W152" s="112"/>
      <c r="X152" s="112"/>
      <c r="Y152" s="112"/>
      <c r="Z152" s="112"/>
      <c r="AA152" s="112"/>
      <c r="AB152" s="112"/>
      <c r="AC152" s="112"/>
      <c r="AD152" s="112"/>
      <c r="AE152" s="112"/>
      <c r="AG152" s="93"/>
      <c r="AH152" s="93"/>
    </row>
    <row r="153" spans="1:34" ht="13.8" x14ac:dyDescent="0.3">
      <c r="A153" s="93"/>
      <c r="B153" s="93"/>
      <c r="I153" s="93"/>
      <c r="J153" s="93"/>
      <c r="M153" s="113"/>
      <c r="N153" s="113"/>
      <c r="O153" s="113"/>
      <c r="P153" s="113"/>
      <c r="Q153" s="113"/>
      <c r="R153" s="113"/>
      <c r="S153" s="113"/>
      <c r="T153" s="113"/>
      <c r="U153" s="113"/>
      <c r="V153" s="113"/>
      <c r="W153" s="112"/>
      <c r="X153" s="112"/>
      <c r="Y153" s="112"/>
      <c r="Z153" s="112"/>
      <c r="AA153" s="112"/>
      <c r="AB153" s="112"/>
      <c r="AC153" s="112"/>
      <c r="AD153" s="112"/>
      <c r="AE153" s="112"/>
      <c r="AG153" s="93"/>
      <c r="AH153" s="93"/>
    </row>
    <row r="154" spans="1:34" ht="13.8" x14ac:dyDescent="0.3">
      <c r="A154" s="93"/>
      <c r="B154" s="93"/>
      <c r="I154" s="93"/>
      <c r="J154" s="93"/>
      <c r="M154" s="113"/>
      <c r="N154" s="113"/>
      <c r="O154" s="113"/>
      <c r="P154" s="113"/>
      <c r="Q154" s="113"/>
      <c r="R154" s="113"/>
      <c r="S154" s="113"/>
      <c r="T154" s="113"/>
      <c r="U154" s="113"/>
      <c r="V154" s="113"/>
      <c r="W154" s="112"/>
      <c r="X154" s="112"/>
      <c r="Y154" s="112"/>
      <c r="Z154" s="112"/>
      <c r="AA154" s="112"/>
      <c r="AB154" s="112"/>
      <c r="AC154" s="112"/>
      <c r="AD154" s="112"/>
      <c r="AE154" s="112"/>
      <c r="AG154" s="93"/>
      <c r="AH154" s="93"/>
    </row>
    <row r="155" spans="1:34" ht="13.8" x14ac:dyDescent="0.3">
      <c r="A155" s="93"/>
      <c r="B155" s="93"/>
      <c r="I155" s="93"/>
      <c r="J155" s="93"/>
      <c r="M155" s="113"/>
      <c r="N155" s="113"/>
      <c r="O155" s="113"/>
      <c r="P155" s="113"/>
      <c r="Q155" s="113"/>
      <c r="R155" s="113"/>
      <c r="S155" s="113"/>
      <c r="T155" s="113"/>
      <c r="U155" s="113"/>
      <c r="V155" s="113"/>
      <c r="W155" s="112"/>
      <c r="X155" s="112"/>
      <c r="Y155" s="112"/>
      <c r="Z155" s="112"/>
      <c r="AA155" s="112"/>
      <c r="AB155" s="112"/>
      <c r="AC155" s="112"/>
      <c r="AD155" s="112"/>
      <c r="AE155" s="112"/>
      <c r="AG155" s="93"/>
      <c r="AH155" s="93"/>
    </row>
    <row r="156" spans="1:34" ht="13.8" x14ac:dyDescent="0.3">
      <c r="A156" s="93"/>
      <c r="B156" s="93"/>
      <c r="I156" s="93"/>
      <c r="J156" s="93"/>
      <c r="M156" s="113"/>
      <c r="N156" s="113"/>
      <c r="O156" s="113"/>
      <c r="P156" s="113"/>
      <c r="Q156" s="113"/>
      <c r="R156" s="113"/>
      <c r="S156" s="113"/>
      <c r="T156" s="113"/>
      <c r="U156" s="113"/>
      <c r="V156" s="113"/>
      <c r="W156" s="112"/>
      <c r="X156" s="112"/>
      <c r="Y156" s="112"/>
      <c r="Z156" s="112"/>
      <c r="AA156" s="112"/>
      <c r="AB156" s="112"/>
      <c r="AC156" s="112"/>
      <c r="AD156" s="112"/>
      <c r="AE156" s="112"/>
      <c r="AG156" s="93"/>
      <c r="AH156" s="93"/>
    </row>
    <row r="157" spans="1:34" ht="13.8" x14ac:dyDescent="0.3">
      <c r="A157" s="93"/>
      <c r="B157" s="93"/>
      <c r="I157" s="93"/>
      <c r="J157" s="93"/>
      <c r="M157" s="113"/>
      <c r="N157" s="113"/>
      <c r="O157" s="113"/>
      <c r="P157" s="113"/>
      <c r="Q157" s="113"/>
      <c r="R157" s="113"/>
      <c r="S157" s="113"/>
      <c r="T157" s="113"/>
      <c r="U157" s="113"/>
      <c r="V157" s="113"/>
      <c r="W157" s="112"/>
      <c r="X157" s="112"/>
      <c r="Y157" s="112"/>
      <c r="Z157" s="112"/>
      <c r="AA157" s="112"/>
      <c r="AB157" s="112"/>
      <c r="AC157" s="112"/>
      <c r="AD157" s="112"/>
      <c r="AE157" s="112"/>
      <c r="AG157" s="93"/>
      <c r="AH157" s="93"/>
    </row>
    <row r="158" spans="1:34" ht="13.8" x14ac:dyDescent="0.3">
      <c r="A158" s="93"/>
      <c r="B158" s="93"/>
      <c r="I158" s="93"/>
      <c r="J158" s="93"/>
      <c r="M158" s="113"/>
      <c r="N158" s="113"/>
      <c r="O158" s="113"/>
      <c r="P158" s="113"/>
      <c r="Q158" s="113"/>
      <c r="R158" s="113"/>
      <c r="S158" s="113"/>
      <c r="T158" s="113"/>
      <c r="U158" s="113"/>
      <c r="V158" s="113"/>
      <c r="W158" s="112"/>
      <c r="X158" s="112"/>
      <c r="Y158" s="112"/>
      <c r="Z158" s="112"/>
      <c r="AA158" s="112"/>
      <c r="AB158" s="112"/>
      <c r="AC158" s="112"/>
      <c r="AD158" s="112"/>
      <c r="AE158" s="112"/>
      <c r="AG158" s="93"/>
      <c r="AH158" s="93"/>
    </row>
    <row r="159" spans="1:34" ht="13.8" x14ac:dyDescent="0.3">
      <c r="A159" s="93"/>
      <c r="B159" s="93"/>
      <c r="I159" s="93"/>
      <c r="J159" s="93"/>
      <c r="M159" s="113"/>
      <c r="N159" s="113"/>
      <c r="O159" s="113"/>
      <c r="P159" s="113"/>
      <c r="Q159" s="113"/>
      <c r="R159" s="113"/>
      <c r="S159" s="113"/>
      <c r="T159" s="113"/>
      <c r="U159" s="113"/>
      <c r="V159" s="113"/>
      <c r="W159" s="112"/>
      <c r="X159" s="112"/>
      <c r="Y159" s="112"/>
      <c r="Z159" s="112"/>
      <c r="AA159" s="112"/>
      <c r="AB159" s="112"/>
      <c r="AC159" s="112"/>
      <c r="AD159" s="112"/>
      <c r="AE159" s="112"/>
      <c r="AG159" s="93"/>
      <c r="AH159" s="93"/>
    </row>
    <row r="160" spans="1:34" ht="13.8" x14ac:dyDescent="0.3">
      <c r="A160" s="93"/>
      <c r="B160" s="93"/>
      <c r="I160" s="93"/>
      <c r="J160" s="93"/>
      <c r="M160" s="113"/>
      <c r="N160" s="113"/>
      <c r="O160" s="113"/>
      <c r="P160" s="113"/>
      <c r="Q160" s="113"/>
      <c r="R160" s="113"/>
      <c r="S160" s="113"/>
      <c r="T160" s="113"/>
      <c r="U160" s="113"/>
      <c r="V160" s="113"/>
      <c r="W160" s="112"/>
      <c r="X160" s="112"/>
      <c r="Y160" s="112"/>
      <c r="Z160" s="112"/>
      <c r="AA160" s="112"/>
      <c r="AB160" s="112"/>
      <c r="AC160" s="112"/>
      <c r="AD160" s="112"/>
      <c r="AE160" s="112"/>
      <c r="AG160" s="93"/>
      <c r="AH160" s="93"/>
    </row>
    <row r="161" spans="1:34" ht="13.8" x14ac:dyDescent="0.3">
      <c r="A161" s="93"/>
      <c r="B161" s="93"/>
      <c r="I161" s="93"/>
      <c r="J161" s="93"/>
      <c r="M161" s="113"/>
      <c r="N161" s="113"/>
      <c r="O161" s="113"/>
      <c r="P161" s="113"/>
      <c r="Q161" s="113"/>
      <c r="R161" s="113"/>
      <c r="S161" s="113"/>
      <c r="T161" s="113"/>
      <c r="U161" s="113"/>
      <c r="V161" s="113"/>
      <c r="W161" s="112"/>
      <c r="X161" s="112"/>
      <c r="Y161" s="112"/>
      <c r="Z161" s="112"/>
      <c r="AA161" s="112"/>
      <c r="AB161" s="112"/>
      <c r="AC161" s="112"/>
      <c r="AD161" s="112"/>
      <c r="AE161" s="112"/>
      <c r="AG161" s="93"/>
      <c r="AH161" s="93"/>
    </row>
    <row r="162" spans="1:34" ht="13.8" x14ac:dyDescent="0.3">
      <c r="A162" s="93"/>
      <c r="B162" s="93"/>
      <c r="I162" s="93"/>
      <c r="J162" s="93"/>
      <c r="M162" s="113"/>
      <c r="N162" s="113"/>
      <c r="O162" s="113"/>
      <c r="P162" s="113"/>
      <c r="Q162" s="113"/>
      <c r="R162" s="113"/>
      <c r="S162" s="113"/>
      <c r="T162" s="113"/>
      <c r="U162" s="113"/>
      <c r="V162" s="113"/>
      <c r="W162" s="112"/>
      <c r="X162" s="112"/>
      <c r="Y162" s="112"/>
      <c r="Z162" s="112"/>
      <c r="AA162" s="112"/>
      <c r="AB162" s="112"/>
      <c r="AC162" s="112"/>
      <c r="AD162" s="112"/>
      <c r="AE162" s="112"/>
      <c r="AG162" s="93"/>
      <c r="AH162" s="93"/>
    </row>
    <row r="163" spans="1:34" ht="13.8" x14ac:dyDescent="0.3">
      <c r="A163" s="93"/>
      <c r="B163" s="93"/>
      <c r="I163" s="93"/>
      <c r="J163" s="93"/>
      <c r="M163" s="113"/>
      <c r="N163" s="113"/>
      <c r="O163" s="113"/>
      <c r="P163" s="113"/>
      <c r="Q163" s="113"/>
      <c r="R163" s="113"/>
      <c r="S163" s="113"/>
      <c r="T163" s="113"/>
      <c r="U163" s="113"/>
      <c r="V163" s="113"/>
      <c r="W163" s="112"/>
      <c r="X163" s="112"/>
      <c r="Y163" s="112"/>
      <c r="Z163" s="112"/>
      <c r="AA163" s="112"/>
      <c r="AB163" s="112"/>
      <c r="AC163" s="112"/>
      <c r="AD163" s="112"/>
      <c r="AE163" s="112"/>
      <c r="AG163" s="93"/>
      <c r="AH163" s="93"/>
    </row>
    <row r="164" spans="1:34" ht="13.8" x14ac:dyDescent="0.3">
      <c r="A164" s="119"/>
      <c r="B164" s="93"/>
      <c r="I164" s="93"/>
      <c r="J164" s="93"/>
      <c r="M164" s="113"/>
      <c r="N164" s="93"/>
      <c r="O164" s="113"/>
      <c r="P164" s="113"/>
      <c r="Q164" s="113"/>
      <c r="R164" s="113"/>
      <c r="S164" s="113"/>
      <c r="T164" s="113"/>
      <c r="U164" s="113"/>
      <c r="V164" s="113"/>
      <c r="W164" s="112"/>
      <c r="X164" s="112"/>
      <c r="Y164" s="112"/>
      <c r="Z164" s="112"/>
      <c r="AA164" s="112"/>
      <c r="AB164" s="112"/>
      <c r="AC164" s="112"/>
      <c r="AD164" s="112"/>
      <c r="AE164" s="112"/>
      <c r="AG164" s="93"/>
      <c r="AH164" s="93"/>
    </row>
    <row r="165" spans="1:34" ht="13.8" outlineLevel="1" x14ac:dyDescent="0.3">
      <c r="A165" s="93"/>
      <c r="B165" s="93"/>
      <c r="I165" s="93"/>
      <c r="J165" s="93"/>
      <c r="M165" s="113"/>
      <c r="N165" s="93"/>
      <c r="O165" s="113"/>
      <c r="P165" s="113"/>
      <c r="Q165" s="113"/>
      <c r="R165" s="113"/>
      <c r="S165" s="113"/>
      <c r="T165" s="113"/>
      <c r="U165" s="113"/>
      <c r="V165" s="113"/>
      <c r="W165" s="112"/>
      <c r="X165" s="112"/>
      <c r="Y165" s="112"/>
      <c r="Z165" s="112"/>
      <c r="AA165" s="112"/>
      <c r="AB165" s="112"/>
      <c r="AC165" s="112"/>
      <c r="AD165" s="112"/>
      <c r="AE165" s="112"/>
      <c r="AG165" s="93"/>
      <c r="AH165" s="93"/>
    </row>
    <row r="166" spans="1:34" ht="13.8" outlineLevel="1" x14ac:dyDescent="0.3">
      <c r="A166" s="93"/>
      <c r="B166" s="93"/>
      <c r="I166" s="93"/>
      <c r="J166" s="93"/>
      <c r="M166" s="113"/>
      <c r="N166" s="113"/>
      <c r="O166" s="113"/>
      <c r="P166" s="113"/>
      <c r="Q166" s="113"/>
      <c r="R166" s="113"/>
      <c r="S166" s="113"/>
      <c r="T166" s="113"/>
      <c r="U166" s="113"/>
      <c r="V166" s="113"/>
      <c r="W166" s="112"/>
      <c r="X166" s="112"/>
      <c r="Y166" s="112"/>
      <c r="Z166" s="112"/>
      <c r="AA166" s="112"/>
      <c r="AB166" s="112"/>
      <c r="AC166" s="112"/>
      <c r="AD166" s="112"/>
      <c r="AE166" s="112"/>
      <c r="AG166" s="93"/>
      <c r="AH166" s="93"/>
    </row>
    <row r="167" spans="1:34" ht="13.8" outlineLevel="1" x14ac:dyDescent="0.3">
      <c r="A167" s="93"/>
      <c r="B167" s="93"/>
      <c r="I167" s="93"/>
      <c r="J167" s="93"/>
      <c r="M167" s="113"/>
      <c r="N167" s="118"/>
      <c r="O167" s="113"/>
      <c r="P167" s="113"/>
      <c r="Q167" s="113"/>
      <c r="R167" s="113"/>
      <c r="S167" s="113"/>
      <c r="T167" s="113"/>
      <c r="U167" s="113"/>
      <c r="V167" s="113"/>
      <c r="W167" s="112"/>
      <c r="X167" s="112"/>
      <c r="Y167" s="112"/>
      <c r="Z167" s="112"/>
      <c r="AA167" s="112"/>
      <c r="AB167" s="112"/>
      <c r="AC167" s="112"/>
      <c r="AD167" s="112"/>
      <c r="AE167" s="112"/>
      <c r="AG167" s="93"/>
      <c r="AH167" s="93"/>
    </row>
    <row r="168" spans="1:34" ht="13.8" outlineLevel="1" x14ac:dyDescent="0.3">
      <c r="A168" s="93"/>
      <c r="B168" s="93"/>
      <c r="I168" s="93"/>
      <c r="J168" s="93"/>
      <c r="M168" s="113"/>
      <c r="N168" s="118"/>
      <c r="O168" s="113"/>
      <c r="P168" s="113"/>
      <c r="Q168" s="113"/>
      <c r="R168" s="113"/>
      <c r="S168" s="113"/>
      <c r="T168" s="113"/>
      <c r="U168" s="113"/>
      <c r="V168" s="113"/>
      <c r="W168" s="112"/>
      <c r="X168" s="112"/>
      <c r="Y168" s="112"/>
      <c r="Z168" s="112"/>
      <c r="AA168" s="112"/>
      <c r="AB168" s="112"/>
      <c r="AC168" s="112"/>
      <c r="AD168" s="112"/>
      <c r="AE168" s="112"/>
      <c r="AG168" s="93"/>
      <c r="AH168" s="93"/>
    </row>
    <row r="169" spans="1:34" ht="13.8" outlineLevel="1" x14ac:dyDescent="0.3">
      <c r="A169" s="93"/>
      <c r="M169" s="113"/>
      <c r="N169" s="113"/>
      <c r="O169" s="113"/>
      <c r="P169" s="113"/>
      <c r="Q169" s="113"/>
      <c r="R169" s="113"/>
      <c r="S169" s="113"/>
      <c r="T169" s="113"/>
      <c r="U169" s="113"/>
      <c r="V169" s="113"/>
      <c r="W169" s="112"/>
      <c r="X169" s="112"/>
      <c r="Y169" s="112"/>
      <c r="Z169" s="112"/>
      <c r="AA169" s="112"/>
      <c r="AB169" s="112"/>
      <c r="AC169" s="112"/>
      <c r="AD169" s="112"/>
      <c r="AE169" s="112"/>
    </row>
    <row r="170" spans="1:34" ht="13.8" outlineLevel="1" x14ac:dyDescent="0.3">
      <c r="A170" s="93"/>
      <c r="M170" s="113"/>
      <c r="N170" s="113"/>
      <c r="O170" s="113"/>
      <c r="P170" s="113"/>
      <c r="Q170" s="113"/>
      <c r="R170" s="113"/>
      <c r="S170" s="113"/>
      <c r="T170" s="113"/>
      <c r="U170" s="113"/>
      <c r="V170" s="113"/>
      <c r="W170" s="112"/>
      <c r="X170" s="112"/>
      <c r="Y170" s="112"/>
      <c r="Z170" s="112"/>
      <c r="AA170" s="112"/>
      <c r="AB170" s="112"/>
      <c r="AC170" s="112"/>
      <c r="AD170" s="112"/>
      <c r="AE170" s="112"/>
    </row>
    <row r="171" spans="1:34" ht="13.8" outlineLevel="1" x14ac:dyDescent="0.3">
      <c r="A171" s="93"/>
      <c r="M171" s="113"/>
      <c r="N171" s="113"/>
      <c r="O171" s="113"/>
      <c r="P171" s="113"/>
      <c r="Q171" s="113"/>
      <c r="R171" s="113"/>
      <c r="S171" s="113"/>
      <c r="T171" s="113"/>
      <c r="U171" s="113"/>
      <c r="V171" s="113"/>
      <c r="W171" s="112"/>
      <c r="X171" s="112"/>
      <c r="Y171" s="112"/>
      <c r="Z171" s="112"/>
      <c r="AA171" s="112"/>
      <c r="AB171" s="112"/>
      <c r="AC171" s="112"/>
      <c r="AD171" s="112"/>
      <c r="AE171" s="112"/>
    </row>
    <row r="172" spans="1:34" ht="13.8" outlineLevel="1" x14ac:dyDescent="0.3">
      <c r="A172" s="93"/>
      <c r="M172" s="113"/>
      <c r="N172" s="113"/>
      <c r="O172" s="113"/>
      <c r="P172" s="113"/>
      <c r="Q172" s="113"/>
      <c r="R172" s="113"/>
      <c r="S172" s="113"/>
      <c r="T172" s="113"/>
      <c r="U172" s="113"/>
      <c r="V172" s="113"/>
      <c r="W172" s="112"/>
      <c r="X172" s="112"/>
      <c r="Y172" s="112"/>
      <c r="Z172" s="112"/>
      <c r="AA172" s="112"/>
      <c r="AB172" s="112"/>
      <c r="AC172" s="112"/>
      <c r="AD172" s="112"/>
      <c r="AE172" s="112"/>
    </row>
    <row r="173" spans="1:34" ht="13.8" outlineLevel="1" x14ac:dyDescent="0.3">
      <c r="A173" s="93"/>
      <c r="M173" s="113"/>
      <c r="N173" s="113"/>
      <c r="O173" s="113"/>
      <c r="P173" s="113"/>
      <c r="Q173" s="113"/>
      <c r="R173" s="113"/>
      <c r="S173" s="113"/>
      <c r="T173" s="113"/>
      <c r="U173" s="113"/>
      <c r="V173" s="113"/>
      <c r="W173" s="112"/>
      <c r="X173" s="112"/>
      <c r="Y173" s="112"/>
      <c r="Z173" s="112"/>
      <c r="AA173" s="112"/>
      <c r="AB173" s="112"/>
      <c r="AC173" s="112"/>
      <c r="AD173" s="112"/>
      <c r="AE173" s="112"/>
    </row>
    <row r="174" spans="1:34" ht="13.8" outlineLevel="1" x14ac:dyDescent="0.3">
      <c r="A174" s="93"/>
      <c r="M174" s="113"/>
      <c r="N174" s="113"/>
      <c r="O174" s="113"/>
      <c r="P174" s="113"/>
      <c r="Q174" s="113"/>
      <c r="R174" s="113"/>
      <c r="S174" s="113"/>
      <c r="T174" s="113"/>
      <c r="U174" s="113"/>
      <c r="V174" s="113"/>
      <c r="W174" s="112"/>
      <c r="X174" s="112"/>
      <c r="Y174" s="112"/>
      <c r="Z174" s="112"/>
      <c r="AA174" s="112"/>
      <c r="AB174" s="112"/>
      <c r="AC174" s="112"/>
      <c r="AD174" s="112"/>
      <c r="AE174" s="112"/>
    </row>
    <row r="175" spans="1:34" ht="13.8" outlineLevel="1" x14ac:dyDescent="0.3">
      <c r="A175" s="93"/>
      <c r="M175" s="113"/>
      <c r="N175" s="113"/>
      <c r="O175" s="113"/>
      <c r="P175" s="113"/>
      <c r="Q175" s="113"/>
      <c r="R175" s="113"/>
      <c r="S175" s="113"/>
      <c r="T175" s="113"/>
      <c r="U175" s="113"/>
      <c r="V175" s="113"/>
      <c r="W175" s="112"/>
      <c r="X175" s="112"/>
      <c r="Y175" s="112"/>
      <c r="Z175" s="112"/>
      <c r="AA175" s="112"/>
      <c r="AB175" s="112"/>
      <c r="AC175" s="112"/>
      <c r="AD175" s="112"/>
      <c r="AE175" s="112"/>
    </row>
    <row r="176" spans="1:34" ht="13.8" x14ac:dyDescent="0.3">
      <c r="A176" s="93"/>
      <c r="M176" s="113"/>
      <c r="N176" s="113"/>
      <c r="O176" s="113"/>
      <c r="P176" s="113"/>
      <c r="Q176" s="113"/>
      <c r="R176" s="113"/>
      <c r="S176" s="113"/>
      <c r="T176" s="113"/>
      <c r="U176" s="113"/>
      <c r="V176" s="113"/>
      <c r="W176" s="112"/>
      <c r="X176" s="112"/>
      <c r="Y176" s="112"/>
      <c r="Z176" s="112"/>
      <c r="AA176" s="112"/>
      <c r="AB176" s="112"/>
      <c r="AC176" s="112"/>
      <c r="AD176" s="112"/>
      <c r="AE176" s="112"/>
    </row>
    <row r="177" spans="1:31" ht="13.8" x14ac:dyDescent="0.3">
      <c r="A177" s="93"/>
      <c r="M177" s="113"/>
      <c r="N177" s="113"/>
      <c r="O177" s="113"/>
      <c r="P177" s="113"/>
      <c r="Q177" s="113"/>
      <c r="R177" s="113"/>
      <c r="S177" s="113"/>
      <c r="T177" s="113"/>
      <c r="U177" s="113"/>
      <c r="V177" s="113"/>
      <c r="W177" s="112"/>
      <c r="X177" s="112"/>
      <c r="Y177" s="112"/>
      <c r="Z177" s="112"/>
      <c r="AA177" s="112"/>
      <c r="AB177" s="112"/>
      <c r="AC177" s="112"/>
      <c r="AD177" s="112"/>
      <c r="AE177" s="112"/>
    </row>
    <row r="178" spans="1:31" thickBot="1" x14ac:dyDescent="0.35">
      <c r="M178" s="117"/>
      <c r="N178" s="113"/>
      <c r="O178" s="113"/>
      <c r="P178" s="113"/>
      <c r="Q178" s="116"/>
      <c r="R178" s="113"/>
      <c r="S178" s="113"/>
      <c r="T178" s="113"/>
      <c r="U178" s="113"/>
      <c r="V178" s="113"/>
      <c r="W178" s="112"/>
      <c r="X178" s="112"/>
      <c r="Y178" s="112"/>
      <c r="Z178" s="112"/>
      <c r="AA178" s="112"/>
      <c r="AB178" s="112"/>
      <c r="AC178" s="112"/>
      <c r="AD178" s="112"/>
      <c r="AE178" s="112"/>
    </row>
    <row r="179" spans="1:31" thickBot="1" x14ac:dyDescent="0.35">
      <c r="M179" s="115"/>
      <c r="N179" s="113"/>
      <c r="O179" s="113"/>
      <c r="P179" s="113"/>
      <c r="Q179" s="114"/>
      <c r="R179" s="113"/>
      <c r="S179" s="113"/>
      <c r="T179" s="113"/>
      <c r="U179" s="113"/>
      <c r="V179" s="113"/>
      <c r="W179" s="112"/>
      <c r="X179" s="112"/>
      <c r="Y179" s="112"/>
      <c r="Z179" s="112"/>
      <c r="AA179" s="112"/>
      <c r="AB179" s="112"/>
      <c r="AC179" s="112"/>
      <c r="AD179" s="112"/>
      <c r="AE179" s="112"/>
    </row>
    <row r="180" spans="1:31" thickBot="1" x14ac:dyDescent="0.35">
      <c r="M180" s="115"/>
      <c r="N180" s="113"/>
      <c r="O180" s="113"/>
      <c r="P180" s="113"/>
      <c r="Q180" s="114"/>
      <c r="R180" s="113"/>
      <c r="S180" s="113"/>
      <c r="T180" s="113"/>
      <c r="U180" s="113"/>
      <c r="V180" s="113"/>
      <c r="W180" s="112"/>
      <c r="X180" s="112"/>
      <c r="Y180" s="112"/>
      <c r="Z180" s="112"/>
      <c r="AA180" s="112"/>
      <c r="AB180" s="112"/>
      <c r="AC180" s="112"/>
      <c r="AD180" s="112"/>
      <c r="AE180" s="112"/>
    </row>
    <row r="181" spans="1:31" thickBot="1" x14ac:dyDescent="0.35">
      <c r="M181" s="115"/>
      <c r="N181" s="113"/>
      <c r="O181" s="113"/>
      <c r="P181" s="113"/>
      <c r="Q181" s="114"/>
      <c r="R181" s="113"/>
      <c r="S181" s="113"/>
      <c r="T181" s="113"/>
      <c r="U181" s="113"/>
      <c r="V181" s="113"/>
      <c r="W181" s="112"/>
      <c r="X181" s="112"/>
      <c r="Y181" s="112"/>
      <c r="Z181" s="112"/>
      <c r="AA181" s="112"/>
      <c r="AB181" s="112"/>
      <c r="AC181" s="112"/>
      <c r="AD181" s="112"/>
      <c r="AE181" s="112"/>
    </row>
    <row r="182" spans="1:31" thickBot="1" x14ac:dyDescent="0.35">
      <c r="M182" s="115"/>
      <c r="N182" s="113"/>
      <c r="O182" s="113"/>
      <c r="P182" s="113"/>
      <c r="Q182" s="114"/>
      <c r="R182" s="113"/>
      <c r="S182" s="113"/>
      <c r="T182" s="113"/>
      <c r="U182" s="113"/>
      <c r="V182" s="113"/>
      <c r="W182" s="112"/>
      <c r="X182" s="112"/>
      <c r="Y182" s="112"/>
      <c r="Z182" s="112"/>
      <c r="AA182" s="112"/>
      <c r="AB182" s="112"/>
      <c r="AC182" s="112"/>
      <c r="AD182" s="112"/>
      <c r="AE182" s="112"/>
    </row>
    <row r="183" spans="1:31" thickBot="1" x14ac:dyDescent="0.35">
      <c r="M183" s="115"/>
      <c r="N183" s="113"/>
      <c r="O183" s="113"/>
      <c r="P183" s="113"/>
      <c r="Q183" s="114"/>
      <c r="R183" s="113"/>
      <c r="S183" s="113"/>
      <c r="T183" s="113"/>
      <c r="U183" s="113"/>
      <c r="V183" s="113"/>
      <c r="W183" s="112"/>
      <c r="X183" s="112"/>
      <c r="Y183" s="112"/>
      <c r="Z183" s="112"/>
      <c r="AA183" s="112"/>
      <c r="AB183" s="112"/>
      <c r="AC183" s="112"/>
      <c r="AD183" s="112"/>
      <c r="AE183" s="112"/>
    </row>
    <row r="184" spans="1:31" thickBot="1" x14ac:dyDescent="0.35">
      <c r="M184" s="115"/>
      <c r="N184" s="113"/>
      <c r="O184" s="113"/>
      <c r="P184" s="113"/>
      <c r="Q184" s="114"/>
      <c r="R184" s="113"/>
      <c r="S184" s="113"/>
      <c r="T184" s="113"/>
      <c r="U184" s="113"/>
      <c r="V184" s="113"/>
      <c r="W184" s="112"/>
      <c r="X184" s="112"/>
      <c r="Y184" s="112"/>
      <c r="Z184" s="112"/>
      <c r="AA184" s="112"/>
      <c r="AB184" s="112"/>
      <c r="AC184" s="112"/>
      <c r="AD184" s="112"/>
      <c r="AE184" s="112"/>
    </row>
    <row r="185" spans="1:31" thickBot="1" x14ac:dyDescent="0.35">
      <c r="M185" s="115"/>
      <c r="N185" s="113"/>
      <c r="O185" s="113"/>
      <c r="P185" s="113"/>
      <c r="Q185" s="114"/>
      <c r="R185" s="113"/>
      <c r="S185" s="113"/>
      <c r="T185" s="113"/>
      <c r="U185" s="113"/>
      <c r="V185" s="113"/>
      <c r="W185" s="112"/>
      <c r="X185" s="112"/>
      <c r="Y185" s="112"/>
      <c r="Z185" s="112"/>
      <c r="AA185" s="112"/>
      <c r="AB185" s="112"/>
      <c r="AC185" s="112"/>
      <c r="AD185" s="112"/>
      <c r="AE185" s="112"/>
    </row>
    <row r="186" spans="1:31" thickBot="1" x14ac:dyDescent="0.35">
      <c r="M186" s="115"/>
      <c r="N186" s="113"/>
      <c r="O186" s="113"/>
      <c r="P186" s="113"/>
      <c r="Q186" s="114"/>
      <c r="R186" s="113"/>
      <c r="S186" s="113"/>
      <c r="T186" s="113"/>
      <c r="U186" s="113"/>
      <c r="V186" s="113"/>
      <c r="W186" s="112"/>
      <c r="X186" s="112"/>
      <c r="Y186" s="112"/>
      <c r="Z186" s="112"/>
      <c r="AA186" s="112"/>
      <c r="AB186" s="112"/>
      <c r="AC186" s="112"/>
      <c r="AD186" s="112"/>
      <c r="AE186" s="112"/>
    </row>
    <row r="187" spans="1:31" thickBot="1" x14ac:dyDescent="0.35">
      <c r="M187" s="115"/>
      <c r="N187" s="113"/>
      <c r="O187" s="113"/>
      <c r="P187" s="113"/>
      <c r="Q187" s="114"/>
      <c r="R187" s="113"/>
      <c r="S187" s="113"/>
      <c r="T187" s="113"/>
      <c r="U187" s="113"/>
      <c r="V187" s="113"/>
      <c r="W187" s="112"/>
      <c r="X187" s="112"/>
      <c r="Y187" s="112"/>
      <c r="Z187" s="112"/>
      <c r="AA187" s="112"/>
      <c r="AB187" s="112"/>
      <c r="AC187" s="112"/>
      <c r="AD187" s="112"/>
      <c r="AE187" s="112"/>
    </row>
    <row r="188" spans="1:31" thickBot="1" x14ac:dyDescent="0.35">
      <c r="M188" s="115"/>
      <c r="N188" s="113"/>
      <c r="O188" s="113"/>
      <c r="P188" s="113"/>
      <c r="Q188" s="114"/>
      <c r="R188" s="113"/>
      <c r="S188" s="113"/>
      <c r="T188" s="113"/>
      <c r="U188" s="113"/>
      <c r="V188" s="113"/>
      <c r="W188" s="112"/>
      <c r="X188" s="112"/>
      <c r="Y188" s="112"/>
      <c r="Z188" s="112"/>
      <c r="AA188" s="112"/>
      <c r="AB188" s="112"/>
      <c r="AC188" s="112"/>
      <c r="AD188" s="112"/>
      <c r="AE188" s="112"/>
    </row>
    <row r="189" spans="1:31" thickBot="1" x14ac:dyDescent="0.35">
      <c r="M189" s="115"/>
      <c r="N189" s="113"/>
      <c r="O189" s="113"/>
      <c r="P189" s="113"/>
      <c r="Q189" s="114"/>
      <c r="R189" s="113"/>
      <c r="S189" s="113"/>
      <c r="T189" s="113"/>
      <c r="U189" s="113"/>
      <c r="V189" s="113"/>
      <c r="W189" s="112"/>
      <c r="X189" s="112"/>
      <c r="Y189" s="112"/>
      <c r="Z189" s="112"/>
      <c r="AA189" s="112"/>
      <c r="AB189" s="112"/>
      <c r="AC189" s="112"/>
      <c r="AD189" s="112"/>
      <c r="AE189" s="112"/>
    </row>
    <row r="190" spans="1:31" thickBot="1" x14ac:dyDescent="0.35">
      <c r="M190" s="115"/>
      <c r="N190" s="113"/>
      <c r="O190" s="113"/>
      <c r="P190" s="113"/>
      <c r="Q190" s="114"/>
      <c r="R190" s="113"/>
      <c r="S190" s="113"/>
      <c r="T190" s="113"/>
      <c r="U190" s="113"/>
      <c r="V190" s="113"/>
      <c r="W190" s="112"/>
      <c r="X190" s="112"/>
      <c r="Y190" s="112"/>
      <c r="Z190" s="112"/>
      <c r="AA190" s="112"/>
      <c r="AB190" s="112"/>
      <c r="AC190" s="112"/>
      <c r="AD190" s="112"/>
      <c r="AE190" s="112"/>
    </row>
    <row r="191" spans="1:31" thickBot="1" x14ac:dyDescent="0.35">
      <c r="M191" s="115"/>
      <c r="N191" s="113"/>
      <c r="O191" s="113"/>
      <c r="P191" s="113"/>
      <c r="Q191" s="114"/>
      <c r="R191" s="113"/>
      <c r="S191" s="113"/>
      <c r="T191" s="113"/>
      <c r="U191" s="113"/>
      <c r="V191" s="113"/>
      <c r="W191" s="112"/>
      <c r="X191" s="112"/>
      <c r="Y191" s="112"/>
      <c r="Z191" s="112"/>
      <c r="AA191" s="112"/>
      <c r="AB191" s="112"/>
      <c r="AC191" s="112"/>
      <c r="AD191" s="112"/>
      <c r="AE191" s="112"/>
    </row>
    <row r="192" spans="1:31" thickBot="1" x14ac:dyDescent="0.35">
      <c r="M192" s="115"/>
      <c r="N192" s="113"/>
      <c r="O192" s="113"/>
      <c r="P192" s="113"/>
      <c r="Q192" s="114"/>
      <c r="R192" s="113"/>
      <c r="S192" s="113"/>
      <c r="T192" s="113"/>
      <c r="U192" s="113"/>
      <c r="V192" s="113"/>
      <c r="W192" s="112"/>
      <c r="X192" s="112"/>
      <c r="Y192" s="112"/>
      <c r="Z192" s="112"/>
      <c r="AA192" s="112"/>
      <c r="AB192" s="112"/>
      <c r="AC192" s="112"/>
      <c r="AD192" s="112"/>
      <c r="AE192" s="112"/>
    </row>
    <row r="193" spans="13:31" thickBot="1" x14ac:dyDescent="0.35">
      <c r="M193" s="115"/>
      <c r="N193" s="113"/>
      <c r="O193" s="113"/>
      <c r="P193" s="113"/>
      <c r="Q193" s="114"/>
      <c r="R193" s="113"/>
      <c r="S193" s="113"/>
      <c r="T193" s="113"/>
      <c r="U193" s="113"/>
      <c r="V193" s="113"/>
      <c r="W193" s="112"/>
      <c r="X193" s="112"/>
      <c r="Y193" s="112"/>
      <c r="Z193" s="112"/>
      <c r="AA193" s="112"/>
      <c r="AB193" s="112"/>
      <c r="AC193" s="112"/>
      <c r="AD193" s="112"/>
      <c r="AE193" s="112"/>
    </row>
    <row r="194" spans="13:31" thickBot="1" x14ac:dyDescent="0.35">
      <c r="M194" s="115"/>
      <c r="N194" s="113"/>
      <c r="O194" s="113"/>
      <c r="P194" s="113"/>
      <c r="Q194" s="114"/>
      <c r="R194" s="113"/>
      <c r="S194" s="113"/>
      <c r="T194" s="113"/>
      <c r="U194" s="113"/>
      <c r="V194" s="113"/>
      <c r="W194" s="112"/>
      <c r="X194" s="112"/>
      <c r="Y194" s="112"/>
      <c r="Z194" s="112"/>
      <c r="AA194" s="112"/>
      <c r="AB194" s="112"/>
      <c r="AC194" s="112"/>
      <c r="AD194" s="112"/>
      <c r="AE194" s="112"/>
    </row>
    <row r="195" spans="13:31" thickBot="1" x14ac:dyDescent="0.35">
      <c r="M195" s="115"/>
      <c r="N195" s="113"/>
      <c r="O195" s="113"/>
      <c r="P195" s="113"/>
      <c r="Q195" s="114"/>
      <c r="R195" s="113"/>
      <c r="S195" s="113"/>
      <c r="T195" s="113"/>
      <c r="U195" s="113"/>
      <c r="V195" s="113"/>
      <c r="W195" s="112"/>
      <c r="X195" s="112"/>
      <c r="Y195" s="112"/>
      <c r="Z195" s="112"/>
      <c r="AA195" s="112"/>
      <c r="AB195" s="112"/>
      <c r="AC195" s="112"/>
      <c r="AD195" s="112"/>
      <c r="AE195" s="112"/>
    </row>
    <row r="196" spans="13:31" thickBot="1" x14ac:dyDescent="0.35">
      <c r="M196" s="115"/>
      <c r="N196" s="113"/>
      <c r="O196" s="113"/>
      <c r="P196" s="113"/>
      <c r="Q196" s="114"/>
      <c r="R196" s="113"/>
      <c r="S196" s="113"/>
      <c r="T196" s="113"/>
      <c r="U196" s="113"/>
      <c r="V196" s="113"/>
      <c r="W196" s="112"/>
      <c r="X196" s="112"/>
      <c r="Y196" s="112"/>
      <c r="Z196" s="112"/>
      <c r="AA196" s="112"/>
      <c r="AB196" s="112"/>
      <c r="AC196" s="112"/>
      <c r="AD196" s="112"/>
      <c r="AE196" s="112"/>
    </row>
    <row r="197" spans="13:31" thickBot="1" x14ac:dyDescent="0.35">
      <c r="M197" s="115"/>
      <c r="N197" s="113"/>
      <c r="O197" s="113"/>
      <c r="P197" s="113"/>
      <c r="Q197" s="114"/>
      <c r="R197" s="113"/>
      <c r="S197" s="113"/>
      <c r="T197" s="113"/>
      <c r="U197" s="113"/>
      <c r="V197" s="113"/>
      <c r="W197" s="112"/>
      <c r="X197" s="112"/>
      <c r="Y197" s="112"/>
      <c r="Z197" s="112"/>
      <c r="AA197" s="112"/>
      <c r="AB197" s="112"/>
      <c r="AC197" s="112"/>
      <c r="AD197" s="112"/>
      <c r="AE197" s="112"/>
    </row>
    <row r="198" spans="13:31" thickBot="1" x14ac:dyDescent="0.35">
      <c r="M198" s="115"/>
      <c r="N198" s="113"/>
      <c r="O198" s="113"/>
      <c r="P198" s="113"/>
      <c r="Q198" s="114"/>
      <c r="R198" s="113"/>
      <c r="S198" s="113"/>
      <c r="T198" s="113"/>
      <c r="U198" s="113"/>
      <c r="V198" s="113"/>
      <c r="W198" s="112"/>
      <c r="X198" s="112"/>
      <c r="Y198" s="112"/>
      <c r="Z198" s="112"/>
      <c r="AA198" s="112"/>
      <c r="AB198" s="112"/>
      <c r="AC198" s="112"/>
      <c r="AD198" s="112"/>
      <c r="AE198" s="112"/>
    </row>
    <row r="199" spans="13:31" thickBot="1" x14ac:dyDescent="0.35">
      <c r="M199" s="115"/>
      <c r="N199" s="113"/>
      <c r="O199" s="113"/>
      <c r="P199" s="113"/>
      <c r="Q199" s="114"/>
      <c r="R199" s="113"/>
      <c r="S199" s="113"/>
      <c r="T199" s="113"/>
      <c r="U199" s="113"/>
      <c r="V199" s="113"/>
      <c r="W199" s="112"/>
      <c r="X199" s="112"/>
      <c r="Y199" s="112"/>
      <c r="Z199" s="112"/>
      <c r="AA199" s="112"/>
      <c r="AB199" s="112"/>
      <c r="AC199" s="112"/>
      <c r="AD199" s="112"/>
      <c r="AE199" s="112"/>
    </row>
    <row r="200" spans="13:31" thickBot="1" x14ac:dyDescent="0.35">
      <c r="M200" s="115"/>
      <c r="N200" s="113"/>
      <c r="O200" s="113"/>
      <c r="P200" s="113"/>
      <c r="Q200" s="114"/>
      <c r="R200" s="113"/>
      <c r="S200" s="113"/>
      <c r="T200" s="113"/>
      <c r="U200" s="113"/>
      <c r="V200" s="113"/>
      <c r="W200" s="112"/>
      <c r="X200" s="112"/>
      <c r="Y200" s="112"/>
      <c r="Z200" s="112"/>
      <c r="AA200" s="112"/>
      <c r="AB200" s="112"/>
      <c r="AC200" s="112"/>
      <c r="AD200" s="112"/>
      <c r="AE200" s="112"/>
    </row>
    <row r="201" spans="13:31" thickBot="1" x14ac:dyDescent="0.35">
      <c r="M201" s="115"/>
      <c r="N201" s="113"/>
      <c r="O201" s="113"/>
      <c r="P201" s="113"/>
      <c r="Q201" s="114"/>
      <c r="R201" s="113"/>
      <c r="S201" s="113"/>
      <c r="T201" s="113"/>
      <c r="U201" s="113"/>
      <c r="V201" s="113"/>
      <c r="W201" s="112"/>
      <c r="X201" s="112"/>
      <c r="Y201" s="112"/>
      <c r="Z201" s="112"/>
      <c r="AA201" s="112"/>
      <c r="AB201" s="112"/>
      <c r="AC201" s="112"/>
      <c r="AD201" s="112"/>
      <c r="AE201" s="112"/>
    </row>
    <row r="202" spans="13:31" thickBot="1" x14ac:dyDescent="0.35">
      <c r="M202" s="115"/>
      <c r="N202" s="113"/>
      <c r="O202" s="113"/>
      <c r="P202" s="113"/>
      <c r="Q202" s="114"/>
      <c r="R202" s="113"/>
      <c r="S202" s="113"/>
      <c r="T202" s="113"/>
      <c r="U202" s="113"/>
      <c r="V202" s="113"/>
      <c r="W202" s="112"/>
      <c r="X202" s="112"/>
      <c r="Y202" s="112"/>
      <c r="Z202" s="112"/>
      <c r="AA202" s="112"/>
      <c r="AB202" s="112"/>
      <c r="AC202" s="112"/>
      <c r="AD202" s="112"/>
      <c r="AE202" s="112"/>
    </row>
    <row r="203" spans="13:31" thickBot="1" x14ac:dyDescent="0.35">
      <c r="M203" s="115"/>
      <c r="N203" s="113"/>
      <c r="O203" s="113"/>
      <c r="P203" s="113"/>
      <c r="Q203" s="114"/>
      <c r="R203" s="113"/>
      <c r="S203" s="113"/>
      <c r="T203" s="113"/>
      <c r="U203" s="113"/>
      <c r="V203" s="113"/>
      <c r="W203" s="112"/>
      <c r="X203" s="112"/>
      <c r="Y203" s="112"/>
      <c r="Z203" s="112"/>
      <c r="AA203" s="112"/>
      <c r="AB203" s="112"/>
      <c r="AC203" s="112"/>
      <c r="AD203" s="112"/>
      <c r="AE203" s="112"/>
    </row>
    <row r="204" spans="13:31" thickBot="1" x14ac:dyDescent="0.35">
      <c r="M204" s="115"/>
      <c r="N204" s="113"/>
      <c r="O204" s="113"/>
      <c r="P204" s="113"/>
      <c r="Q204" s="114"/>
      <c r="R204" s="113"/>
      <c r="S204" s="113"/>
      <c r="T204" s="113"/>
      <c r="U204" s="113"/>
      <c r="V204" s="113"/>
      <c r="W204" s="112"/>
      <c r="X204" s="112"/>
      <c r="Y204" s="112"/>
      <c r="Z204" s="112"/>
      <c r="AA204" s="112"/>
      <c r="AB204" s="112"/>
      <c r="AC204" s="112"/>
      <c r="AD204" s="112"/>
      <c r="AE204" s="112"/>
    </row>
    <row r="205" spans="13:31" thickBot="1" x14ac:dyDescent="0.35">
      <c r="M205" s="115"/>
      <c r="N205" s="113"/>
      <c r="O205" s="113"/>
      <c r="P205" s="113"/>
      <c r="Q205" s="114"/>
      <c r="R205" s="113"/>
      <c r="S205" s="113"/>
      <c r="T205" s="113"/>
      <c r="U205" s="113"/>
      <c r="V205" s="113"/>
      <c r="W205" s="112"/>
      <c r="X205" s="112"/>
      <c r="Y205" s="112"/>
      <c r="Z205" s="112"/>
      <c r="AA205" s="112"/>
      <c r="AB205" s="112"/>
      <c r="AC205" s="112"/>
      <c r="AD205" s="112"/>
      <c r="AE205" s="112"/>
    </row>
    <row r="206" spans="13:31" thickBot="1" x14ac:dyDescent="0.35">
      <c r="M206" s="115"/>
      <c r="N206" s="113"/>
      <c r="O206" s="113"/>
      <c r="P206" s="113"/>
      <c r="Q206" s="114"/>
      <c r="R206" s="113"/>
      <c r="S206" s="113"/>
      <c r="T206" s="113"/>
      <c r="U206" s="113"/>
      <c r="V206" s="113"/>
      <c r="W206" s="112"/>
      <c r="X206" s="112"/>
      <c r="Y206" s="112"/>
      <c r="Z206" s="112"/>
      <c r="AA206" s="112"/>
      <c r="AB206" s="112"/>
      <c r="AC206" s="112"/>
      <c r="AD206" s="112"/>
      <c r="AE206" s="112"/>
    </row>
    <row r="207" spans="13:31" thickBot="1" x14ac:dyDescent="0.35">
      <c r="M207" s="115"/>
      <c r="N207" s="113"/>
      <c r="O207" s="113"/>
      <c r="P207" s="113"/>
      <c r="Q207" s="114"/>
      <c r="R207" s="113"/>
      <c r="S207" s="113"/>
      <c r="T207" s="113"/>
      <c r="U207" s="113"/>
      <c r="V207" s="113"/>
      <c r="W207" s="112"/>
      <c r="X207" s="112"/>
      <c r="Y207" s="112"/>
      <c r="Z207" s="112"/>
      <c r="AA207" s="112"/>
      <c r="AB207" s="112"/>
      <c r="AC207" s="112"/>
      <c r="AD207" s="112"/>
      <c r="AE207" s="112"/>
    </row>
    <row r="208" spans="13:31" thickBot="1" x14ac:dyDescent="0.35">
      <c r="M208" s="115"/>
      <c r="N208" s="113"/>
      <c r="O208" s="113"/>
      <c r="P208" s="113"/>
      <c r="Q208" s="114"/>
      <c r="R208" s="113"/>
      <c r="S208" s="113"/>
      <c r="T208" s="113"/>
      <c r="U208" s="113"/>
      <c r="V208" s="113"/>
      <c r="W208" s="112"/>
      <c r="X208" s="112"/>
      <c r="Y208" s="112"/>
      <c r="Z208" s="112"/>
      <c r="AA208" s="112"/>
      <c r="AB208" s="112"/>
      <c r="AC208" s="112"/>
      <c r="AD208" s="112"/>
      <c r="AE208" s="112"/>
    </row>
    <row r="209" spans="13:31" thickBot="1" x14ac:dyDescent="0.35">
      <c r="M209" s="115"/>
      <c r="N209" s="113"/>
      <c r="O209" s="113"/>
      <c r="P209" s="113"/>
      <c r="Q209" s="114"/>
      <c r="R209" s="113"/>
      <c r="S209" s="113"/>
      <c r="T209" s="113"/>
      <c r="U209" s="113"/>
      <c r="V209" s="113"/>
      <c r="W209" s="112"/>
      <c r="X209" s="112"/>
      <c r="Y209" s="112"/>
      <c r="Z209" s="112"/>
      <c r="AA209" s="112"/>
      <c r="AB209" s="112"/>
      <c r="AC209" s="112"/>
      <c r="AD209" s="112"/>
      <c r="AE209" s="112"/>
    </row>
    <row r="210" spans="13:31" thickBot="1" x14ac:dyDescent="0.35">
      <c r="M210" s="115"/>
      <c r="N210" s="113"/>
      <c r="O210" s="113"/>
      <c r="P210" s="113"/>
      <c r="Q210" s="114"/>
      <c r="R210" s="113"/>
      <c r="S210" s="113"/>
      <c r="T210" s="113"/>
      <c r="U210" s="113"/>
      <c r="V210" s="113"/>
      <c r="W210" s="112"/>
      <c r="X210" s="112"/>
      <c r="Y210" s="112"/>
      <c r="Z210" s="112"/>
      <c r="AA210" s="112"/>
      <c r="AB210" s="112"/>
      <c r="AC210" s="112"/>
      <c r="AD210" s="112"/>
      <c r="AE210" s="112"/>
    </row>
    <row r="211" spans="13:31" thickBot="1" x14ac:dyDescent="0.35">
      <c r="M211" s="115"/>
      <c r="N211" s="113"/>
      <c r="O211" s="113"/>
      <c r="P211" s="113"/>
      <c r="Q211" s="114"/>
      <c r="R211" s="113"/>
      <c r="S211" s="113"/>
      <c r="T211" s="113"/>
      <c r="U211" s="113"/>
      <c r="V211" s="113"/>
      <c r="W211" s="112"/>
      <c r="X211" s="112"/>
      <c r="Y211" s="112"/>
      <c r="Z211" s="112"/>
      <c r="AA211" s="112"/>
      <c r="AB211" s="112"/>
      <c r="AC211" s="112"/>
      <c r="AD211" s="112"/>
      <c r="AE211" s="112"/>
    </row>
    <row r="212" spans="13:31" thickBot="1" x14ac:dyDescent="0.35">
      <c r="M212" s="115"/>
      <c r="N212" s="113"/>
      <c r="O212" s="113"/>
      <c r="P212" s="113"/>
      <c r="Q212" s="114"/>
      <c r="R212" s="113"/>
      <c r="S212" s="113"/>
      <c r="T212" s="113"/>
      <c r="U212" s="113"/>
      <c r="V212" s="113"/>
      <c r="W212" s="112"/>
      <c r="X212" s="112"/>
      <c r="Y212" s="112"/>
      <c r="Z212" s="112"/>
      <c r="AA212" s="112"/>
      <c r="AB212" s="112"/>
      <c r="AC212" s="112"/>
      <c r="AD212" s="112"/>
      <c r="AE212" s="112"/>
    </row>
    <row r="213" spans="13:31" thickBot="1" x14ac:dyDescent="0.35">
      <c r="M213" s="115"/>
      <c r="N213" s="113"/>
      <c r="O213" s="113"/>
      <c r="P213" s="113"/>
      <c r="Q213" s="114"/>
      <c r="R213" s="113"/>
      <c r="S213" s="113"/>
      <c r="T213" s="113"/>
      <c r="U213" s="113"/>
      <c r="V213" s="113"/>
      <c r="W213" s="112"/>
      <c r="X213" s="112"/>
      <c r="Y213" s="112"/>
      <c r="Z213" s="112"/>
      <c r="AA213" s="112"/>
      <c r="AB213" s="112"/>
      <c r="AC213" s="112"/>
      <c r="AD213" s="112"/>
      <c r="AE213" s="112"/>
    </row>
    <row r="214" spans="13:31" thickBot="1" x14ac:dyDescent="0.35">
      <c r="M214" s="115"/>
      <c r="N214" s="113"/>
      <c r="O214" s="113"/>
      <c r="P214" s="113"/>
      <c r="Q214" s="114"/>
      <c r="R214" s="113"/>
      <c r="S214" s="113"/>
      <c r="T214" s="113"/>
      <c r="U214" s="113"/>
      <c r="V214" s="113"/>
      <c r="W214" s="112"/>
      <c r="X214" s="112"/>
      <c r="Y214" s="112"/>
      <c r="Z214" s="112"/>
      <c r="AA214" s="112"/>
      <c r="AB214" s="112"/>
      <c r="AC214" s="112"/>
      <c r="AD214" s="112"/>
      <c r="AE214" s="112"/>
    </row>
    <row r="215" spans="13:31" thickBot="1" x14ac:dyDescent="0.35">
      <c r="M215" s="115"/>
      <c r="N215" s="113"/>
      <c r="O215" s="113"/>
      <c r="P215" s="113"/>
      <c r="Q215" s="114"/>
      <c r="R215" s="113"/>
      <c r="S215" s="113"/>
      <c r="T215" s="113"/>
      <c r="U215" s="113"/>
      <c r="V215" s="113"/>
      <c r="W215" s="112"/>
      <c r="X215" s="112"/>
      <c r="Y215" s="112"/>
      <c r="Z215" s="112"/>
      <c r="AA215" s="112"/>
      <c r="AB215" s="112"/>
      <c r="AC215" s="112"/>
      <c r="AD215" s="112"/>
      <c r="AE215" s="112"/>
    </row>
    <row r="216" spans="13:31" thickBot="1" x14ac:dyDescent="0.35">
      <c r="M216" s="115"/>
      <c r="N216" s="113"/>
      <c r="O216" s="113"/>
      <c r="P216" s="113"/>
      <c r="Q216" s="114"/>
      <c r="R216" s="113"/>
      <c r="S216" s="113"/>
      <c r="T216" s="113"/>
      <c r="U216" s="113"/>
      <c r="V216" s="113"/>
      <c r="W216" s="112"/>
      <c r="X216" s="112"/>
      <c r="Y216" s="112"/>
      <c r="Z216" s="112"/>
      <c r="AA216" s="112"/>
      <c r="AB216" s="112"/>
      <c r="AC216" s="112"/>
      <c r="AD216" s="112"/>
      <c r="AE216" s="112"/>
    </row>
    <row r="217" spans="13:31" thickBot="1" x14ac:dyDescent="0.35">
      <c r="M217" s="115"/>
      <c r="N217" s="113"/>
      <c r="O217" s="113"/>
      <c r="P217" s="113"/>
      <c r="Q217" s="114"/>
      <c r="R217" s="113"/>
      <c r="S217" s="113"/>
      <c r="T217" s="113"/>
      <c r="U217" s="113"/>
      <c r="V217" s="113"/>
      <c r="W217" s="112"/>
      <c r="X217" s="112"/>
      <c r="Y217" s="112"/>
      <c r="Z217" s="112"/>
      <c r="AA217" s="112"/>
      <c r="AB217" s="112"/>
      <c r="AC217" s="112"/>
      <c r="AD217" s="112"/>
      <c r="AE217" s="112"/>
    </row>
    <row r="218" spans="13:31" thickBot="1" x14ac:dyDescent="0.35">
      <c r="M218" s="115"/>
      <c r="N218" s="113"/>
      <c r="O218" s="113"/>
      <c r="P218" s="113"/>
      <c r="Q218" s="114"/>
      <c r="R218" s="113"/>
      <c r="S218" s="113"/>
      <c r="T218" s="113"/>
      <c r="U218" s="113"/>
      <c r="V218" s="113"/>
      <c r="W218" s="112"/>
      <c r="X218" s="112"/>
      <c r="Y218" s="112"/>
      <c r="Z218" s="112"/>
      <c r="AA218" s="112"/>
      <c r="AB218" s="112"/>
      <c r="AC218" s="112"/>
      <c r="AD218" s="112"/>
      <c r="AE218" s="112"/>
    </row>
    <row r="219" spans="13:31" thickBot="1" x14ac:dyDescent="0.35">
      <c r="M219" s="115"/>
      <c r="N219" s="113"/>
      <c r="O219" s="113"/>
      <c r="P219" s="113"/>
      <c r="Q219" s="114"/>
      <c r="R219" s="113"/>
      <c r="S219" s="113"/>
      <c r="T219" s="113"/>
      <c r="U219" s="113"/>
      <c r="V219" s="113"/>
      <c r="W219" s="112"/>
      <c r="X219" s="112"/>
      <c r="Y219" s="112"/>
      <c r="Z219" s="112"/>
      <c r="AA219" s="112"/>
      <c r="AB219" s="112"/>
      <c r="AC219" s="112"/>
      <c r="AD219" s="112"/>
      <c r="AE219" s="112"/>
    </row>
    <row r="220" spans="13:31" thickBot="1" x14ac:dyDescent="0.35">
      <c r="M220" s="115"/>
      <c r="N220" s="113"/>
      <c r="O220" s="113"/>
      <c r="P220" s="113"/>
      <c r="Q220" s="114"/>
      <c r="R220" s="113"/>
      <c r="S220" s="113"/>
      <c r="T220" s="113"/>
      <c r="U220" s="113"/>
      <c r="V220" s="113"/>
      <c r="W220" s="112"/>
      <c r="X220" s="112"/>
      <c r="Y220" s="112"/>
      <c r="Z220" s="112"/>
      <c r="AA220" s="112"/>
      <c r="AB220" s="112"/>
      <c r="AC220" s="112"/>
      <c r="AD220" s="112"/>
      <c r="AE220" s="112"/>
    </row>
    <row r="221" spans="13:31" thickBot="1" x14ac:dyDescent="0.35">
      <c r="M221" s="115"/>
      <c r="N221" s="113"/>
      <c r="O221" s="113"/>
      <c r="P221" s="113"/>
      <c r="Q221" s="114"/>
      <c r="R221" s="113"/>
      <c r="S221" s="113"/>
      <c r="T221" s="113"/>
      <c r="U221" s="113"/>
      <c r="V221" s="113"/>
      <c r="W221" s="112"/>
      <c r="X221" s="112"/>
      <c r="Y221" s="112"/>
      <c r="Z221" s="112"/>
      <c r="AA221" s="112"/>
      <c r="AB221" s="112"/>
      <c r="AC221" s="112"/>
      <c r="AD221" s="112"/>
      <c r="AE221" s="112"/>
    </row>
    <row r="222" spans="13:31" thickBot="1" x14ac:dyDescent="0.35">
      <c r="M222" s="115"/>
      <c r="N222" s="113"/>
      <c r="O222" s="113"/>
      <c r="P222" s="113"/>
      <c r="Q222" s="114"/>
      <c r="R222" s="113"/>
      <c r="S222" s="113"/>
      <c r="T222" s="113"/>
      <c r="U222" s="113"/>
      <c r="V222" s="113"/>
      <c r="W222" s="112"/>
      <c r="X222" s="112"/>
      <c r="Y222" s="112"/>
      <c r="Z222" s="112"/>
      <c r="AA222" s="112"/>
      <c r="AB222" s="112"/>
      <c r="AC222" s="112"/>
      <c r="AD222" s="112"/>
      <c r="AE222" s="112"/>
    </row>
    <row r="223" spans="13:31" thickBot="1" x14ac:dyDescent="0.35">
      <c r="M223" s="115"/>
      <c r="N223" s="113"/>
      <c r="O223" s="113"/>
      <c r="P223" s="113"/>
      <c r="Q223" s="114"/>
      <c r="R223" s="113"/>
      <c r="S223" s="113"/>
      <c r="T223" s="113"/>
      <c r="U223" s="113"/>
      <c r="V223" s="113"/>
      <c r="W223" s="112"/>
      <c r="X223" s="112"/>
      <c r="Y223" s="112"/>
      <c r="Z223" s="112"/>
      <c r="AA223" s="112"/>
      <c r="AB223" s="112"/>
      <c r="AC223" s="112"/>
      <c r="AD223" s="112"/>
      <c r="AE223" s="112"/>
    </row>
    <row r="224" spans="13:31" thickBot="1" x14ac:dyDescent="0.35">
      <c r="M224" s="115"/>
      <c r="N224" s="113"/>
      <c r="O224" s="113"/>
      <c r="P224" s="113"/>
      <c r="Q224" s="114"/>
      <c r="R224" s="113"/>
      <c r="S224" s="113"/>
      <c r="T224" s="113"/>
      <c r="U224" s="113"/>
      <c r="V224" s="113"/>
      <c r="W224" s="112"/>
      <c r="X224" s="112"/>
      <c r="Y224" s="112"/>
      <c r="Z224" s="112"/>
      <c r="AA224" s="112"/>
      <c r="AB224" s="112"/>
      <c r="AC224" s="112"/>
      <c r="AD224" s="112"/>
      <c r="AE224" s="112"/>
    </row>
    <row r="225" spans="13:31" thickBot="1" x14ac:dyDescent="0.35">
      <c r="M225" s="115"/>
      <c r="N225" s="113"/>
      <c r="O225" s="113"/>
      <c r="P225" s="113"/>
      <c r="Q225" s="114"/>
      <c r="R225" s="113"/>
      <c r="S225" s="113"/>
      <c r="T225" s="113"/>
      <c r="U225" s="113"/>
      <c r="V225" s="113"/>
      <c r="W225" s="112"/>
      <c r="X225" s="112"/>
      <c r="Y225" s="112"/>
      <c r="Z225" s="112"/>
      <c r="AA225" s="112"/>
      <c r="AB225" s="112"/>
      <c r="AC225" s="112"/>
      <c r="AD225" s="112"/>
      <c r="AE225" s="112"/>
    </row>
    <row r="226" spans="13:31" thickBot="1" x14ac:dyDescent="0.35">
      <c r="M226" s="115"/>
      <c r="N226" s="113"/>
      <c r="O226" s="113"/>
      <c r="P226" s="113"/>
      <c r="Q226" s="114"/>
      <c r="R226" s="113"/>
      <c r="S226" s="113"/>
      <c r="T226" s="113"/>
      <c r="U226" s="113"/>
      <c r="V226" s="113"/>
      <c r="W226" s="112"/>
      <c r="X226" s="112"/>
      <c r="Y226" s="112"/>
      <c r="Z226" s="112"/>
      <c r="AA226" s="112"/>
      <c r="AB226" s="112"/>
      <c r="AC226" s="112"/>
      <c r="AD226" s="112"/>
      <c r="AE226" s="112"/>
    </row>
    <row r="227" spans="13:31" thickBot="1" x14ac:dyDescent="0.35">
      <c r="M227" s="115"/>
      <c r="N227" s="113"/>
      <c r="O227" s="113"/>
      <c r="P227" s="113"/>
      <c r="Q227" s="114"/>
      <c r="R227" s="113"/>
      <c r="S227" s="113"/>
      <c r="T227" s="113"/>
      <c r="U227" s="113"/>
      <c r="V227" s="113"/>
      <c r="W227" s="112"/>
      <c r="X227" s="112"/>
      <c r="Y227" s="112"/>
      <c r="Z227" s="112"/>
      <c r="AA227" s="112"/>
      <c r="AB227" s="112"/>
      <c r="AC227" s="112"/>
      <c r="AD227" s="112"/>
      <c r="AE227" s="112"/>
    </row>
    <row r="228" spans="13:31" thickBot="1" x14ac:dyDescent="0.35">
      <c r="M228" s="115"/>
      <c r="N228" s="113"/>
      <c r="O228" s="113"/>
      <c r="P228" s="113"/>
      <c r="Q228" s="114"/>
      <c r="R228" s="113"/>
      <c r="S228" s="113"/>
      <c r="T228" s="113"/>
      <c r="U228" s="113"/>
      <c r="V228" s="113"/>
      <c r="W228" s="112"/>
      <c r="X228" s="112"/>
      <c r="Y228" s="112"/>
      <c r="Z228" s="112"/>
      <c r="AA228" s="112"/>
      <c r="AB228" s="112"/>
      <c r="AC228" s="112"/>
      <c r="AD228" s="112"/>
      <c r="AE228" s="112"/>
    </row>
    <row r="229" spans="13:31" thickBot="1" x14ac:dyDescent="0.35">
      <c r="M229" s="115"/>
      <c r="N229" s="113"/>
      <c r="O229" s="113"/>
      <c r="P229" s="113"/>
      <c r="Q229" s="114"/>
      <c r="R229" s="113"/>
      <c r="S229" s="113"/>
      <c r="T229" s="113"/>
      <c r="U229" s="113"/>
      <c r="V229" s="113"/>
      <c r="W229" s="112"/>
      <c r="X229" s="112"/>
      <c r="Y229" s="112"/>
      <c r="Z229" s="112"/>
      <c r="AA229" s="112"/>
      <c r="AB229" s="112"/>
      <c r="AC229" s="112"/>
      <c r="AD229" s="112"/>
      <c r="AE229" s="112"/>
    </row>
    <row r="230" spans="13:31" thickBot="1" x14ac:dyDescent="0.35">
      <c r="M230" s="115"/>
      <c r="N230" s="113"/>
      <c r="O230" s="113"/>
      <c r="P230" s="113"/>
      <c r="Q230" s="114"/>
      <c r="R230" s="113"/>
      <c r="S230" s="113"/>
      <c r="T230" s="113"/>
      <c r="U230" s="113"/>
      <c r="V230" s="113"/>
      <c r="W230" s="112"/>
      <c r="X230" s="112"/>
      <c r="Y230" s="112"/>
      <c r="Z230" s="112"/>
      <c r="AA230" s="112"/>
      <c r="AB230" s="112"/>
      <c r="AC230" s="112"/>
      <c r="AD230" s="112"/>
      <c r="AE230" s="112"/>
    </row>
    <row r="231" spans="13:31" thickBot="1" x14ac:dyDescent="0.35">
      <c r="M231" s="115"/>
      <c r="N231" s="113"/>
      <c r="O231" s="113"/>
      <c r="P231" s="113"/>
      <c r="Q231" s="114"/>
      <c r="R231" s="113"/>
      <c r="S231" s="113"/>
      <c r="T231" s="113"/>
      <c r="U231" s="113"/>
      <c r="V231" s="113"/>
      <c r="W231" s="112"/>
      <c r="X231" s="112"/>
      <c r="Y231" s="112"/>
      <c r="Z231" s="112"/>
      <c r="AA231" s="112"/>
      <c r="AB231" s="112"/>
      <c r="AC231" s="112"/>
      <c r="AD231" s="112"/>
      <c r="AE231" s="112"/>
    </row>
    <row r="232" spans="13:31" thickBot="1" x14ac:dyDescent="0.35">
      <c r="M232" s="115"/>
      <c r="N232" s="113"/>
      <c r="O232" s="113"/>
      <c r="P232" s="113"/>
      <c r="Q232" s="114"/>
      <c r="R232" s="113"/>
      <c r="S232" s="113"/>
      <c r="T232" s="113"/>
      <c r="U232" s="113"/>
      <c r="V232" s="113"/>
      <c r="W232" s="112"/>
      <c r="X232" s="112"/>
      <c r="Y232" s="112"/>
      <c r="Z232" s="112"/>
      <c r="AA232" s="112"/>
      <c r="AB232" s="112"/>
      <c r="AC232" s="112"/>
      <c r="AD232" s="112"/>
      <c r="AE232" s="112"/>
    </row>
    <row r="233" spans="13:31" thickBot="1" x14ac:dyDescent="0.35">
      <c r="M233" s="115"/>
      <c r="N233" s="113"/>
      <c r="O233" s="113"/>
      <c r="P233" s="113"/>
      <c r="Q233" s="114"/>
      <c r="R233" s="113"/>
      <c r="S233" s="113"/>
      <c r="T233" s="113"/>
      <c r="U233" s="113"/>
      <c r="V233" s="113"/>
      <c r="W233" s="112"/>
      <c r="X233" s="112"/>
      <c r="Y233" s="112"/>
      <c r="Z233" s="112"/>
      <c r="AA233" s="112"/>
      <c r="AB233" s="112"/>
      <c r="AC233" s="112"/>
      <c r="AD233" s="112"/>
      <c r="AE233" s="112"/>
    </row>
    <row r="234" spans="13:31" thickBot="1" x14ac:dyDescent="0.35">
      <c r="M234" s="115"/>
      <c r="N234" s="113"/>
      <c r="O234" s="113"/>
      <c r="P234" s="113"/>
      <c r="Q234" s="114"/>
      <c r="R234" s="113"/>
      <c r="S234" s="113"/>
      <c r="T234" s="113"/>
      <c r="U234" s="113"/>
      <c r="V234" s="113"/>
      <c r="W234" s="112"/>
      <c r="X234" s="112"/>
      <c r="Y234" s="112"/>
      <c r="Z234" s="112"/>
      <c r="AA234" s="112"/>
      <c r="AB234" s="112"/>
      <c r="AC234" s="112"/>
      <c r="AD234" s="112"/>
      <c r="AE234" s="112"/>
    </row>
    <row r="235" spans="13:31" thickBot="1" x14ac:dyDescent="0.35">
      <c r="M235" s="115"/>
      <c r="N235" s="113"/>
      <c r="O235" s="113"/>
      <c r="P235" s="113"/>
      <c r="Q235" s="114"/>
      <c r="R235" s="113"/>
      <c r="S235" s="113"/>
      <c r="T235" s="113"/>
      <c r="U235" s="113"/>
      <c r="V235" s="113"/>
      <c r="W235" s="112"/>
      <c r="X235" s="112"/>
      <c r="Y235" s="112"/>
      <c r="Z235" s="112"/>
      <c r="AA235" s="112"/>
      <c r="AB235" s="112"/>
      <c r="AC235" s="112"/>
      <c r="AD235" s="112"/>
      <c r="AE235" s="112"/>
    </row>
    <row r="236" spans="13:31" thickBot="1" x14ac:dyDescent="0.35">
      <c r="M236" s="115"/>
      <c r="N236" s="113"/>
      <c r="O236" s="113"/>
      <c r="P236" s="113"/>
      <c r="Q236" s="114"/>
      <c r="R236" s="113"/>
      <c r="S236" s="113"/>
      <c r="T236" s="113"/>
      <c r="U236" s="113"/>
      <c r="V236" s="113"/>
      <c r="W236" s="112"/>
      <c r="X236" s="112"/>
      <c r="Y236" s="112"/>
      <c r="Z236" s="112"/>
      <c r="AA236" s="112"/>
      <c r="AB236" s="112"/>
      <c r="AC236" s="112"/>
      <c r="AD236" s="112"/>
      <c r="AE236" s="112"/>
    </row>
    <row r="237" spans="13:31" thickBot="1" x14ac:dyDescent="0.35">
      <c r="M237" s="115"/>
      <c r="N237" s="113"/>
      <c r="O237" s="113"/>
      <c r="P237" s="113"/>
      <c r="Q237" s="114"/>
      <c r="R237" s="113"/>
      <c r="S237" s="113"/>
      <c r="T237" s="113"/>
      <c r="U237" s="113"/>
      <c r="V237" s="113"/>
      <c r="W237" s="112"/>
      <c r="X237" s="112"/>
      <c r="Y237" s="112"/>
      <c r="Z237" s="112"/>
      <c r="AA237" s="112"/>
      <c r="AB237" s="112"/>
      <c r="AC237" s="112"/>
      <c r="AD237" s="112"/>
      <c r="AE237" s="112"/>
    </row>
    <row r="238" spans="13:31" thickBot="1" x14ac:dyDescent="0.35">
      <c r="M238" s="115"/>
      <c r="N238" s="113"/>
      <c r="O238" s="113"/>
      <c r="P238" s="113"/>
      <c r="Q238" s="114"/>
      <c r="R238" s="113"/>
      <c r="S238" s="113"/>
      <c r="T238" s="113"/>
      <c r="U238" s="113"/>
      <c r="V238" s="113"/>
      <c r="W238" s="112"/>
      <c r="X238" s="112"/>
      <c r="Y238" s="112"/>
      <c r="Z238" s="112"/>
      <c r="AA238" s="112"/>
      <c r="AB238" s="112"/>
      <c r="AC238" s="112"/>
      <c r="AD238" s="112"/>
      <c r="AE238" s="112"/>
    </row>
    <row r="239" spans="13:31" thickBot="1" x14ac:dyDescent="0.35">
      <c r="M239" s="115"/>
      <c r="N239" s="113"/>
      <c r="O239" s="113"/>
      <c r="P239" s="113"/>
      <c r="Q239" s="114"/>
      <c r="R239" s="113"/>
      <c r="S239" s="113"/>
      <c r="T239" s="113"/>
      <c r="U239" s="113"/>
      <c r="V239" s="113"/>
      <c r="W239" s="112"/>
      <c r="X239" s="112"/>
      <c r="Y239" s="112"/>
      <c r="Z239" s="112"/>
      <c r="AA239" s="112"/>
      <c r="AB239" s="112"/>
      <c r="AC239" s="112"/>
      <c r="AD239" s="112"/>
      <c r="AE239" s="112"/>
    </row>
    <row r="240" spans="13:31" thickBot="1" x14ac:dyDescent="0.35">
      <c r="M240" s="115"/>
      <c r="N240" s="113"/>
      <c r="O240" s="113"/>
      <c r="P240" s="113"/>
      <c r="Q240" s="114"/>
      <c r="R240" s="113"/>
      <c r="S240" s="113"/>
      <c r="T240" s="113"/>
      <c r="U240" s="113"/>
      <c r="V240" s="113"/>
      <c r="W240" s="112"/>
      <c r="X240" s="112"/>
      <c r="Y240" s="112"/>
      <c r="Z240" s="112"/>
      <c r="AA240" s="112"/>
      <c r="AB240" s="112"/>
      <c r="AC240" s="112"/>
      <c r="AD240" s="112"/>
      <c r="AE240" s="112"/>
    </row>
    <row r="241" spans="13:31" thickBot="1" x14ac:dyDescent="0.35">
      <c r="M241" s="115"/>
      <c r="N241" s="113"/>
      <c r="O241" s="113"/>
      <c r="P241" s="113"/>
      <c r="Q241" s="114"/>
      <c r="R241" s="113"/>
      <c r="S241" s="113"/>
      <c r="T241" s="113"/>
      <c r="U241" s="113"/>
      <c r="V241" s="113"/>
      <c r="W241" s="112"/>
      <c r="X241" s="112"/>
      <c r="Y241" s="112"/>
      <c r="Z241" s="112"/>
      <c r="AA241" s="112"/>
      <c r="AB241" s="112"/>
      <c r="AC241" s="112"/>
      <c r="AD241" s="112"/>
      <c r="AE241" s="112"/>
    </row>
    <row r="242" spans="13:31" thickBot="1" x14ac:dyDescent="0.35">
      <c r="M242" s="115"/>
      <c r="N242" s="113"/>
      <c r="O242" s="113"/>
      <c r="P242" s="113"/>
      <c r="Q242" s="114"/>
      <c r="R242" s="113"/>
      <c r="S242" s="113"/>
      <c r="T242" s="113"/>
      <c r="U242" s="113"/>
      <c r="V242" s="113"/>
      <c r="W242" s="112"/>
      <c r="X242" s="112"/>
      <c r="Y242" s="112"/>
      <c r="Z242" s="112"/>
      <c r="AA242" s="112"/>
      <c r="AB242" s="112"/>
      <c r="AC242" s="112"/>
      <c r="AD242" s="112"/>
      <c r="AE242" s="112"/>
    </row>
    <row r="243" spans="13:31" thickBot="1" x14ac:dyDescent="0.35">
      <c r="M243" s="115"/>
      <c r="N243" s="113"/>
      <c r="O243" s="113"/>
      <c r="P243" s="113"/>
      <c r="Q243" s="114"/>
      <c r="R243" s="113"/>
      <c r="S243" s="113"/>
      <c r="T243" s="113"/>
      <c r="U243" s="113"/>
      <c r="V243" s="113"/>
      <c r="W243" s="112"/>
      <c r="X243" s="112"/>
      <c r="Y243" s="112"/>
      <c r="Z243" s="112"/>
      <c r="AA243" s="112"/>
      <c r="AB243" s="112"/>
      <c r="AC243" s="112"/>
      <c r="AD243" s="112"/>
      <c r="AE243" s="112"/>
    </row>
    <row r="244" spans="13:31" thickBot="1" x14ac:dyDescent="0.35">
      <c r="M244" s="115"/>
      <c r="N244" s="113"/>
      <c r="O244" s="113"/>
      <c r="P244" s="113"/>
      <c r="Q244" s="114"/>
      <c r="R244" s="113"/>
      <c r="S244" s="113"/>
      <c r="T244" s="113"/>
      <c r="U244" s="113"/>
      <c r="V244" s="113"/>
      <c r="W244" s="112"/>
      <c r="X244" s="112"/>
      <c r="Y244" s="112"/>
      <c r="Z244" s="112"/>
      <c r="AA244" s="112"/>
      <c r="AB244" s="112"/>
      <c r="AC244" s="112"/>
      <c r="AD244" s="112"/>
      <c r="AE244" s="112"/>
    </row>
    <row r="245" spans="13:31" thickBot="1" x14ac:dyDescent="0.35">
      <c r="M245" s="115"/>
      <c r="N245" s="113"/>
      <c r="O245" s="113"/>
      <c r="P245" s="113"/>
      <c r="Q245" s="114"/>
      <c r="R245" s="113"/>
      <c r="S245" s="113"/>
      <c r="T245" s="113"/>
      <c r="U245" s="113"/>
      <c r="V245" s="113"/>
      <c r="W245" s="112"/>
      <c r="X245" s="112"/>
      <c r="Y245" s="112"/>
      <c r="Z245" s="112"/>
      <c r="AA245" s="112"/>
      <c r="AB245" s="112"/>
      <c r="AC245" s="112"/>
      <c r="AD245" s="112"/>
      <c r="AE245" s="112"/>
    </row>
    <row r="246" spans="13:31" thickBot="1" x14ac:dyDescent="0.35">
      <c r="M246" s="115"/>
      <c r="N246" s="113"/>
      <c r="O246" s="113"/>
      <c r="P246" s="113"/>
      <c r="Q246" s="114"/>
      <c r="R246" s="113"/>
      <c r="S246" s="113"/>
      <c r="T246" s="113"/>
      <c r="U246" s="113"/>
      <c r="V246" s="113"/>
      <c r="W246" s="112"/>
      <c r="X246" s="112"/>
      <c r="Y246" s="112"/>
      <c r="Z246" s="112"/>
      <c r="AA246" s="112"/>
      <c r="AB246" s="112"/>
      <c r="AC246" s="112"/>
      <c r="AD246" s="112"/>
      <c r="AE246" s="112"/>
    </row>
    <row r="247" spans="13:31" thickBot="1" x14ac:dyDescent="0.35">
      <c r="M247" s="115"/>
      <c r="N247" s="113"/>
      <c r="O247" s="113"/>
      <c r="P247" s="113"/>
      <c r="Q247" s="114"/>
      <c r="R247" s="113"/>
      <c r="S247" s="113"/>
      <c r="T247" s="113"/>
      <c r="U247" s="113"/>
      <c r="V247" s="113"/>
      <c r="W247" s="112"/>
      <c r="X247" s="112"/>
      <c r="Y247" s="112"/>
      <c r="Z247" s="112"/>
      <c r="AA247" s="112"/>
      <c r="AB247" s="112"/>
      <c r="AC247" s="112"/>
      <c r="AD247" s="112"/>
      <c r="AE247" s="112"/>
    </row>
    <row r="248" spans="13:31" thickBot="1" x14ac:dyDescent="0.35">
      <c r="M248" s="115"/>
      <c r="N248" s="113"/>
      <c r="O248" s="113"/>
      <c r="P248" s="113"/>
      <c r="Q248" s="114"/>
      <c r="R248" s="113"/>
      <c r="S248" s="113"/>
      <c r="T248" s="113"/>
      <c r="U248" s="113"/>
      <c r="V248" s="113"/>
      <c r="W248" s="112"/>
      <c r="X248" s="112"/>
      <c r="Y248" s="112"/>
      <c r="Z248" s="112"/>
      <c r="AA248" s="112"/>
      <c r="AB248" s="112"/>
      <c r="AC248" s="112"/>
      <c r="AD248" s="112"/>
      <c r="AE248" s="112"/>
    </row>
    <row r="249" spans="13:31" thickBot="1" x14ac:dyDescent="0.35">
      <c r="M249" s="115"/>
      <c r="N249" s="113"/>
      <c r="O249" s="113"/>
      <c r="P249" s="113"/>
      <c r="Q249" s="114"/>
      <c r="R249" s="113"/>
      <c r="S249" s="113"/>
      <c r="T249" s="113"/>
      <c r="U249" s="113"/>
      <c r="V249" s="113"/>
      <c r="W249" s="112"/>
      <c r="X249" s="112"/>
      <c r="Y249" s="112"/>
      <c r="Z249" s="112"/>
      <c r="AA249" s="112"/>
      <c r="AB249" s="112"/>
      <c r="AC249" s="112"/>
      <c r="AD249" s="112"/>
      <c r="AE249" s="112"/>
    </row>
    <row r="250" spans="13:31" thickBot="1" x14ac:dyDescent="0.35">
      <c r="M250" s="115"/>
      <c r="N250" s="113"/>
      <c r="O250" s="113"/>
      <c r="P250" s="113"/>
      <c r="Q250" s="114"/>
      <c r="R250" s="113"/>
      <c r="S250" s="113"/>
      <c r="T250" s="113"/>
      <c r="U250" s="113"/>
      <c r="V250" s="113"/>
      <c r="W250" s="112"/>
      <c r="X250" s="112"/>
      <c r="Y250" s="112"/>
      <c r="Z250" s="112"/>
      <c r="AA250" s="112"/>
      <c r="AB250" s="112"/>
      <c r="AC250" s="112"/>
      <c r="AD250" s="112"/>
      <c r="AE250" s="112"/>
    </row>
    <row r="251" spans="13:31" thickBot="1" x14ac:dyDescent="0.35">
      <c r="M251" s="115"/>
      <c r="N251" s="113"/>
      <c r="O251" s="113"/>
      <c r="P251" s="113"/>
      <c r="Q251" s="114"/>
      <c r="R251" s="113"/>
      <c r="S251" s="113"/>
      <c r="T251" s="113"/>
      <c r="U251" s="113"/>
      <c r="V251" s="113"/>
      <c r="W251" s="112"/>
      <c r="X251" s="112"/>
      <c r="Y251" s="112"/>
      <c r="Z251" s="112"/>
      <c r="AA251" s="112"/>
      <c r="AB251" s="112"/>
      <c r="AC251" s="112"/>
      <c r="AD251" s="112"/>
      <c r="AE251" s="112"/>
    </row>
    <row r="252" spans="13:31" thickBot="1" x14ac:dyDescent="0.35">
      <c r="M252" s="115"/>
      <c r="N252" s="113"/>
      <c r="O252" s="113"/>
      <c r="P252" s="113"/>
      <c r="Q252" s="114"/>
      <c r="R252" s="113"/>
      <c r="S252" s="113"/>
      <c r="T252" s="113"/>
      <c r="U252" s="113"/>
      <c r="V252" s="113"/>
      <c r="W252" s="112"/>
      <c r="X252" s="112"/>
      <c r="Y252" s="112"/>
      <c r="Z252" s="112"/>
      <c r="AA252" s="112"/>
      <c r="AB252" s="112"/>
      <c r="AC252" s="112"/>
      <c r="AD252" s="112"/>
      <c r="AE252" s="112"/>
    </row>
    <row r="253" spans="13:31" thickBot="1" x14ac:dyDescent="0.35">
      <c r="M253" s="115"/>
      <c r="N253" s="113"/>
      <c r="O253" s="113"/>
      <c r="P253" s="113"/>
      <c r="Q253" s="114"/>
      <c r="R253" s="113"/>
      <c r="S253" s="113"/>
      <c r="T253" s="113"/>
      <c r="U253" s="113"/>
      <c r="V253" s="113"/>
      <c r="W253" s="112"/>
      <c r="X253" s="112"/>
      <c r="Y253" s="112"/>
      <c r="Z253" s="112"/>
      <c r="AA253" s="112"/>
      <c r="AB253" s="112"/>
      <c r="AC253" s="112"/>
      <c r="AD253" s="112"/>
      <c r="AE253" s="112"/>
    </row>
    <row r="254" spans="13:31" thickBot="1" x14ac:dyDescent="0.35">
      <c r="M254" s="115"/>
      <c r="N254" s="113"/>
      <c r="O254" s="113"/>
      <c r="P254" s="113"/>
      <c r="Q254" s="114"/>
      <c r="R254" s="113"/>
      <c r="S254" s="113"/>
      <c r="T254" s="113"/>
      <c r="U254" s="113"/>
      <c r="V254" s="113"/>
      <c r="W254" s="112"/>
      <c r="X254" s="112"/>
      <c r="Y254" s="112"/>
      <c r="Z254" s="112"/>
      <c r="AA254" s="112"/>
      <c r="AB254" s="112"/>
      <c r="AC254" s="112"/>
      <c r="AD254" s="112"/>
      <c r="AE254" s="112"/>
    </row>
    <row r="255" spans="13:31" thickBot="1" x14ac:dyDescent="0.35">
      <c r="M255" s="115"/>
      <c r="N255" s="113"/>
      <c r="O255" s="113"/>
      <c r="P255" s="113"/>
      <c r="Q255" s="114"/>
      <c r="R255" s="113"/>
      <c r="S255" s="113"/>
      <c r="T255" s="113"/>
      <c r="U255" s="113"/>
      <c r="V255" s="113"/>
      <c r="W255" s="112"/>
      <c r="X255" s="112"/>
      <c r="Y255" s="112"/>
      <c r="Z255" s="112"/>
      <c r="AA255" s="112"/>
      <c r="AB255" s="112"/>
      <c r="AC255" s="112"/>
      <c r="AD255" s="112"/>
      <c r="AE255" s="112"/>
    </row>
    <row r="256" spans="13:31" thickBot="1" x14ac:dyDescent="0.35">
      <c r="M256" s="115"/>
      <c r="N256" s="113"/>
      <c r="O256" s="113"/>
      <c r="P256" s="113"/>
      <c r="Q256" s="114"/>
      <c r="R256" s="113"/>
      <c r="S256" s="113"/>
      <c r="T256" s="113"/>
      <c r="U256" s="113"/>
      <c r="V256" s="113"/>
      <c r="W256" s="112"/>
      <c r="X256" s="112"/>
      <c r="Y256" s="112"/>
      <c r="Z256" s="112"/>
      <c r="AA256" s="112"/>
      <c r="AB256" s="112"/>
      <c r="AC256" s="112"/>
      <c r="AD256" s="112"/>
      <c r="AE256" s="112"/>
    </row>
    <row r="257" spans="13:31" thickBot="1" x14ac:dyDescent="0.35">
      <c r="M257" s="115"/>
      <c r="N257" s="113"/>
      <c r="O257" s="113"/>
      <c r="P257" s="113"/>
      <c r="Q257" s="114"/>
      <c r="R257" s="113"/>
      <c r="S257" s="113"/>
      <c r="T257" s="113"/>
      <c r="U257" s="113"/>
      <c r="V257" s="113"/>
      <c r="W257" s="112"/>
      <c r="X257" s="112"/>
      <c r="Y257" s="112"/>
      <c r="Z257" s="112"/>
      <c r="AA257" s="112"/>
      <c r="AB257" s="112"/>
      <c r="AC257" s="112"/>
      <c r="AD257" s="112"/>
      <c r="AE257" s="112"/>
    </row>
    <row r="258" spans="13:31" thickBot="1" x14ac:dyDescent="0.35">
      <c r="M258" s="115"/>
      <c r="N258" s="113"/>
      <c r="O258" s="113"/>
      <c r="P258" s="113"/>
      <c r="Q258" s="114"/>
      <c r="R258" s="113"/>
      <c r="S258" s="113"/>
      <c r="T258" s="113"/>
      <c r="U258" s="113"/>
      <c r="V258" s="113"/>
      <c r="W258" s="112"/>
      <c r="X258" s="112"/>
      <c r="Y258" s="112"/>
      <c r="Z258" s="112"/>
      <c r="AA258" s="112"/>
      <c r="AB258" s="112"/>
      <c r="AC258" s="112"/>
      <c r="AD258" s="112"/>
      <c r="AE258" s="112"/>
    </row>
    <row r="259" spans="13:31" thickBot="1" x14ac:dyDescent="0.35">
      <c r="M259" s="115"/>
      <c r="N259" s="113"/>
      <c r="O259" s="113"/>
      <c r="P259" s="113"/>
      <c r="Q259" s="114"/>
      <c r="R259" s="113"/>
      <c r="S259" s="113"/>
      <c r="T259" s="113"/>
      <c r="U259" s="113"/>
      <c r="V259" s="113"/>
      <c r="W259" s="112"/>
      <c r="X259" s="112"/>
      <c r="Y259" s="112"/>
      <c r="Z259" s="112"/>
      <c r="AA259" s="112"/>
      <c r="AB259" s="112"/>
      <c r="AC259" s="112"/>
      <c r="AD259" s="112"/>
      <c r="AE259" s="112"/>
    </row>
    <row r="260" spans="13:31" thickBot="1" x14ac:dyDescent="0.35">
      <c r="M260" s="115"/>
      <c r="N260" s="113"/>
      <c r="O260" s="113"/>
      <c r="P260" s="113"/>
      <c r="Q260" s="114"/>
      <c r="R260" s="113"/>
      <c r="S260" s="113"/>
      <c r="T260" s="113"/>
      <c r="U260" s="113"/>
      <c r="V260" s="113"/>
      <c r="W260" s="112"/>
      <c r="X260" s="112"/>
      <c r="Y260" s="112"/>
      <c r="Z260" s="112"/>
      <c r="AA260" s="112"/>
      <c r="AB260" s="112"/>
      <c r="AC260" s="112"/>
      <c r="AD260" s="112"/>
      <c r="AE260" s="112"/>
    </row>
    <row r="261" spans="13:31" thickBot="1" x14ac:dyDescent="0.35">
      <c r="M261" s="115"/>
      <c r="N261" s="113"/>
      <c r="O261" s="113"/>
      <c r="P261" s="113"/>
      <c r="Q261" s="114"/>
      <c r="R261" s="113"/>
      <c r="S261" s="113"/>
      <c r="T261" s="113"/>
      <c r="U261" s="113"/>
      <c r="V261" s="113"/>
      <c r="W261" s="112"/>
      <c r="X261" s="112"/>
      <c r="Y261" s="112"/>
      <c r="Z261" s="112"/>
      <c r="AA261" s="112"/>
      <c r="AB261" s="112"/>
      <c r="AC261" s="112"/>
      <c r="AD261" s="112"/>
      <c r="AE261" s="112"/>
    </row>
    <row r="262" spans="13:31" thickBot="1" x14ac:dyDescent="0.35">
      <c r="M262" s="115"/>
      <c r="N262" s="113"/>
      <c r="O262" s="113"/>
      <c r="P262" s="113"/>
      <c r="Q262" s="114"/>
      <c r="R262" s="113"/>
      <c r="S262" s="113"/>
      <c r="T262" s="113"/>
      <c r="U262" s="113"/>
      <c r="V262" s="113"/>
      <c r="W262" s="112"/>
      <c r="X262" s="112"/>
      <c r="Y262" s="112"/>
      <c r="Z262" s="112"/>
      <c r="AA262" s="112"/>
      <c r="AB262" s="112"/>
      <c r="AC262" s="112"/>
      <c r="AD262" s="112"/>
      <c r="AE262" s="112"/>
    </row>
    <row r="263" spans="13:31" thickBot="1" x14ac:dyDescent="0.35">
      <c r="M263" s="115"/>
      <c r="N263" s="113"/>
      <c r="O263" s="113"/>
      <c r="P263" s="113"/>
      <c r="Q263" s="114"/>
      <c r="R263" s="113"/>
      <c r="S263" s="113"/>
      <c r="T263" s="113"/>
      <c r="U263" s="113"/>
      <c r="V263" s="113"/>
      <c r="W263" s="112"/>
      <c r="X263" s="112"/>
      <c r="Y263" s="112"/>
      <c r="Z263" s="112"/>
      <c r="AA263" s="112"/>
      <c r="AB263" s="112"/>
      <c r="AC263" s="112"/>
      <c r="AD263" s="112"/>
      <c r="AE263" s="112"/>
    </row>
    <row r="264" spans="13:31" thickBot="1" x14ac:dyDescent="0.35">
      <c r="M264" s="115"/>
      <c r="N264" s="113"/>
      <c r="O264" s="113"/>
      <c r="P264" s="113"/>
      <c r="Q264" s="114"/>
      <c r="R264" s="113"/>
      <c r="S264" s="113"/>
      <c r="T264" s="113"/>
      <c r="U264" s="113"/>
      <c r="V264" s="113"/>
      <c r="W264" s="112"/>
      <c r="X264" s="112"/>
      <c r="Y264" s="112"/>
      <c r="Z264" s="112"/>
      <c r="AA264" s="112"/>
      <c r="AB264" s="112"/>
      <c r="AC264" s="112"/>
      <c r="AD264" s="112"/>
      <c r="AE264" s="112"/>
    </row>
    <row r="265" spans="13:31" thickBot="1" x14ac:dyDescent="0.35">
      <c r="M265" s="115"/>
      <c r="N265" s="113"/>
      <c r="O265" s="113"/>
      <c r="P265" s="113"/>
      <c r="Q265" s="114"/>
      <c r="R265" s="113"/>
      <c r="S265" s="113"/>
      <c r="T265" s="113"/>
      <c r="U265" s="113"/>
      <c r="V265" s="113"/>
      <c r="W265" s="112"/>
      <c r="X265" s="112"/>
      <c r="Y265" s="112"/>
      <c r="Z265" s="112"/>
      <c r="AA265" s="112"/>
      <c r="AB265" s="112"/>
      <c r="AC265" s="112"/>
      <c r="AD265" s="112"/>
      <c r="AE265" s="112"/>
    </row>
    <row r="266" spans="13:31" thickBot="1" x14ac:dyDescent="0.35">
      <c r="M266" s="115"/>
      <c r="N266" s="113"/>
      <c r="O266" s="113"/>
      <c r="P266" s="113"/>
      <c r="Q266" s="114"/>
      <c r="R266" s="113"/>
      <c r="S266" s="113"/>
      <c r="T266" s="113"/>
      <c r="U266" s="113"/>
      <c r="V266" s="113"/>
      <c r="W266" s="112"/>
      <c r="X266" s="112"/>
      <c r="Y266" s="112"/>
      <c r="Z266" s="112"/>
      <c r="AA266" s="112"/>
      <c r="AB266" s="112"/>
      <c r="AC266" s="112"/>
      <c r="AD266" s="112"/>
      <c r="AE266" s="112"/>
    </row>
    <row r="267" spans="13:31" thickBot="1" x14ac:dyDescent="0.35">
      <c r="M267" s="115"/>
      <c r="N267" s="113"/>
      <c r="O267" s="113"/>
      <c r="P267" s="113"/>
      <c r="Q267" s="114"/>
      <c r="R267" s="113"/>
      <c r="S267" s="113"/>
      <c r="T267" s="113"/>
      <c r="U267" s="113"/>
      <c r="V267" s="113"/>
      <c r="W267" s="112"/>
      <c r="X267" s="112"/>
      <c r="Y267" s="112"/>
      <c r="Z267" s="112"/>
      <c r="AA267" s="112"/>
      <c r="AB267" s="112"/>
      <c r="AC267" s="112"/>
      <c r="AD267" s="112"/>
      <c r="AE267" s="112"/>
    </row>
    <row r="268" spans="13:31" thickBot="1" x14ac:dyDescent="0.35">
      <c r="M268" s="115"/>
      <c r="N268" s="113"/>
      <c r="O268" s="113"/>
      <c r="P268" s="113"/>
      <c r="Q268" s="114"/>
      <c r="R268" s="113"/>
      <c r="S268" s="113"/>
      <c r="T268" s="113"/>
      <c r="U268" s="113"/>
      <c r="V268" s="113"/>
      <c r="W268" s="112"/>
      <c r="X268" s="112"/>
      <c r="Y268" s="112"/>
      <c r="Z268" s="112"/>
      <c r="AA268" s="112"/>
      <c r="AB268" s="112"/>
      <c r="AC268" s="112"/>
      <c r="AD268" s="112"/>
      <c r="AE268" s="112"/>
    </row>
    <row r="269" spans="13:31" thickBot="1" x14ac:dyDescent="0.35">
      <c r="M269" s="115"/>
      <c r="N269" s="113"/>
      <c r="O269" s="113"/>
      <c r="P269" s="113"/>
      <c r="Q269" s="114"/>
      <c r="R269" s="113"/>
      <c r="S269" s="113"/>
      <c r="T269" s="113"/>
      <c r="U269" s="113"/>
      <c r="V269" s="113"/>
      <c r="W269" s="112"/>
      <c r="X269" s="112"/>
      <c r="Y269" s="112"/>
      <c r="Z269" s="112"/>
      <c r="AA269" s="112"/>
      <c r="AB269" s="112"/>
      <c r="AC269" s="112"/>
      <c r="AD269" s="112"/>
      <c r="AE269" s="112"/>
    </row>
    <row r="270" spans="13:31" thickBot="1" x14ac:dyDescent="0.35">
      <c r="M270" s="115"/>
      <c r="N270" s="113"/>
      <c r="O270" s="113"/>
      <c r="P270" s="113"/>
      <c r="Q270" s="114"/>
      <c r="R270" s="113"/>
      <c r="S270" s="113"/>
      <c r="T270" s="113"/>
      <c r="U270" s="113"/>
      <c r="V270" s="113"/>
      <c r="W270" s="112"/>
      <c r="X270" s="112"/>
      <c r="Y270" s="112"/>
      <c r="Z270" s="112"/>
      <c r="AA270" s="112"/>
      <c r="AB270" s="112"/>
      <c r="AC270" s="112"/>
      <c r="AD270" s="112"/>
      <c r="AE270" s="112"/>
    </row>
    <row r="271" spans="13:31" thickBot="1" x14ac:dyDescent="0.35">
      <c r="N271" s="111"/>
      <c r="O271" s="111"/>
      <c r="P271" s="111"/>
      <c r="R271" s="111"/>
      <c r="S271" s="111"/>
      <c r="T271" s="111"/>
      <c r="U271" s="111"/>
      <c r="V271" s="111"/>
      <c r="W271" s="110"/>
      <c r="X271" s="110"/>
      <c r="Y271" s="110"/>
      <c r="Z271" s="110"/>
      <c r="AA271" s="110"/>
      <c r="AB271" s="110"/>
      <c r="AC271" s="110"/>
      <c r="AD271" s="110"/>
      <c r="AE271" s="110"/>
    </row>
  </sheetData>
  <mergeCells count="12">
    <mergeCell ref="W5:AE5"/>
    <mergeCell ref="F86:F87"/>
    <mergeCell ref="N86:V86"/>
    <mergeCell ref="W86:AE86"/>
    <mergeCell ref="F5:F6"/>
    <mergeCell ref="N5:V5"/>
    <mergeCell ref="F9:F10"/>
    <mergeCell ref="N9:V9"/>
    <mergeCell ref="W9:AE9"/>
    <mergeCell ref="F127:F128"/>
    <mergeCell ref="N127:V127"/>
    <mergeCell ref="W127:AE127"/>
  </mergeCells>
  <pageMargins left="0.7" right="0.7" top="0.78740157499999996" bottom="0.78740157499999996" header="0.3" footer="0.3"/>
  <extLst>
    <ext xmlns:x14="http://schemas.microsoft.com/office/spreadsheetml/2009/9/main" uri="{78C0D931-6437-407d-A8EE-F0AAD7539E65}">
      <x14:conditionalFormattings>
        <x14:conditionalFormatting xmlns:xm="http://schemas.microsoft.com/office/excel/2006/main">
          <x14:cfRule type="containsText" priority="1" operator="containsText" id="{101C58BC-6150-49B9-8B50-12AC62642B0B}">
            <xm:f>NOT(ISERROR(SEARCH(A17,AH13)))</xm:f>
            <xm:f>A17</xm:f>
            <x14:dxf>
              <fill>
                <patternFill>
                  <bgColor rgb="FFCCFF99"/>
                </patternFill>
              </fill>
            </x14:dxf>
          </x14:cfRule>
          <xm:sqref>AH13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229B0-4830-4563-AE8A-A16602BD1C6C}">
  <dimension ref="A1:N87"/>
  <sheetViews>
    <sheetView topLeftCell="A61" workbookViewId="0">
      <selection activeCell="H82" sqref="H82"/>
    </sheetView>
  </sheetViews>
  <sheetFormatPr baseColWidth="10" defaultRowHeight="13.2" x14ac:dyDescent="0.25"/>
  <cols>
    <col min="4" max="4" width="22.44140625" customWidth="1"/>
    <col min="7" max="7" width="14" bestFit="1" customWidth="1"/>
  </cols>
  <sheetData>
    <row r="1" spans="1:8" x14ac:dyDescent="0.25">
      <c r="A1" s="71" t="s">
        <v>278</v>
      </c>
    </row>
    <row r="3" spans="1:8" x14ac:dyDescent="0.25">
      <c r="A3" t="s">
        <v>281</v>
      </c>
    </row>
    <row r="4" spans="1:8" x14ac:dyDescent="0.25">
      <c r="A4" t="s">
        <v>282</v>
      </c>
    </row>
    <row r="5" spans="1:8" x14ac:dyDescent="0.25">
      <c r="A5" s="8" t="s">
        <v>96</v>
      </c>
      <c r="B5" t="s">
        <v>283</v>
      </c>
    </row>
    <row r="6" spans="1:8" x14ac:dyDescent="0.25">
      <c r="A6" s="8" t="s">
        <v>96</v>
      </c>
      <c r="B6" t="s">
        <v>284</v>
      </c>
    </row>
    <row r="7" spans="1:8" x14ac:dyDescent="0.25">
      <c r="A7" s="8" t="s">
        <v>96</v>
      </c>
      <c r="B7" t="s">
        <v>285</v>
      </c>
    </row>
    <row r="8" spans="1:8" x14ac:dyDescent="0.25">
      <c r="A8" s="8"/>
    </row>
    <row r="9" spans="1:8" x14ac:dyDescent="0.25">
      <c r="A9" s="297" t="s">
        <v>283</v>
      </c>
    </row>
    <row r="10" spans="1:8" x14ac:dyDescent="0.25">
      <c r="A10" s="294" t="s">
        <v>286</v>
      </c>
    </row>
    <row r="11" spans="1:8" x14ac:dyDescent="0.25">
      <c r="A11" s="294"/>
      <c r="B11" t="s">
        <v>354</v>
      </c>
    </row>
    <row r="12" spans="1:8" x14ac:dyDescent="0.25">
      <c r="A12" s="294"/>
      <c r="B12" t="s">
        <v>353</v>
      </c>
    </row>
    <row r="13" spans="1:8" ht="5.25" customHeight="1" x14ac:dyDescent="0.25">
      <c r="A13" s="294"/>
    </row>
    <row r="14" spans="1:8" x14ac:dyDescent="0.25">
      <c r="A14" s="294"/>
      <c r="B14" t="s">
        <v>300</v>
      </c>
      <c r="F14" s="296" t="s">
        <v>302</v>
      </c>
      <c r="G14" t="s">
        <v>301</v>
      </c>
      <c r="H14" t="str">
        <f>IF(UPPER(LEFT(F14,1))="Z","Zwischenuntersuchung",IF(LEN(F14)&gt;0,"Grund- oder wiederkehrende Untersuchung",""))</f>
        <v>Grund- oder wiederkehrende Untersuchung</v>
      </c>
    </row>
    <row r="15" spans="1:8" x14ac:dyDescent="0.25">
      <c r="A15" s="294"/>
    </row>
    <row r="16" spans="1:8" x14ac:dyDescent="0.25">
      <c r="B16" s="56" t="s">
        <v>289</v>
      </c>
      <c r="F16" s="296" t="s">
        <v>292</v>
      </c>
      <c r="G16" s="56" t="s">
        <v>288</v>
      </c>
      <c r="H16" s="298" t="str">
        <f>IF(UPPER(LEFT(F16,1))="J","i.O.",IF(LEN(F16)&gt;0,"fehlt",""))</f>
        <v>i.O.</v>
      </c>
    </row>
    <row r="17" spans="1:14" x14ac:dyDescent="0.25">
      <c r="B17" s="56" t="s">
        <v>291</v>
      </c>
      <c r="F17" s="296" t="s">
        <v>292</v>
      </c>
      <c r="G17" s="56" t="s">
        <v>288</v>
      </c>
      <c r="H17" s="298" t="str">
        <f>IF(UPPER(LEFT(F17,1))="J","i.O.",IF(LEN(F17)&gt;0,"Abweichung des Vorgehens prüfen - ist sie kritisch?",""))</f>
        <v>i.O.</v>
      </c>
    </row>
    <row r="18" spans="1:14" x14ac:dyDescent="0.25">
      <c r="B18" s="56"/>
      <c r="C18" s="56"/>
      <c r="D18" s="56"/>
      <c r="E18" s="56"/>
      <c r="F18" s="56"/>
      <c r="G18" s="56"/>
      <c r="H18" s="56"/>
      <c r="I18" s="56"/>
      <c r="J18" s="56"/>
      <c r="K18" s="56"/>
      <c r="L18" s="56"/>
      <c r="M18" s="56"/>
      <c r="N18" s="56"/>
    </row>
    <row r="19" spans="1:14" x14ac:dyDescent="0.25">
      <c r="B19" s="56" t="s">
        <v>293</v>
      </c>
      <c r="F19" s="296">
        <v>20</v>
      </c>
      <c r="H19" s="56" t="str">
        <f>IFERROR(IF(F19/F22&gt;=4,"","Achtung: weniger als 4 Einzelproben je Laborprobe!"),"")</f>
        <v/>
      </c>
    </row>
    <row r="20" spans="1:14" x14ac:dyDescent="0.25">
      <c r="B20" s="56" t="s">
        <v>294</v>
      </c>
      <c r="E20" t="s">
        <v>295</v>
      </c>
      <c r="F20" s="296">
        <v>10</v>
      </c>
      <c r="G20" s="301">
        <f>IFERROR(F19*F20,0)</f>
        <v>200</v>
      </c>
      <c r="H20" s="56" t="str">
        <f>IF(F20&gt;0,IF(F20&lt;10, "Einzelproben sind zu klein! ", "i.O."),"")</f>
        <v>i.O.</v>
      </c>
    </row>
    <row r="21" spans="1:14" ht="13.8" x14ac:dyDescent="0.3">
      <c r="B21" s="56"/>
      <c r="H21" s="305" t="str">
        <f>IF(F20&gt;0,IF(F20&lt;10, "Diskriminierung grober Schlackebestandteile ist wahrscheinlich ", ""),"")</f>
        <v/>
      </c>
    </row>
    <row r="22" spans="1:14" x14ac:dyDescent="0.25">
      <c r="B22" s="56" t="s">
        <v>287</v>
      </c>
      <c r="F22" s="296">
        <v>2</v>
      </c>
      <c r="H22" s="56" t="str">
        <f>IFERROR(IF(F22&gt;0,IF(OR(AND(H14="Grund- oder wiederkehrende Untersuchung",F22&gt;=5),AND(H14="Zwischenuntersuchung",F22&gt;=2)),"i.O.           (Zahl der Laborproben)","zu wenig Laborproben!"),""),"")</f>
        <v>zu wenig Laborproben!</v>
      </c>
    </row>
    <row r="23" spans="1:14" x14ac:dyDescent="0.25">
      <c r="B23" s="56"/>
      <c r="H23" s="56"/>
    </row>
    <row r="24" spans="1:14" x14ac:dyDescent="0.25">
      <c r="B24" s="56" t="s">
        <v>307</v>
      </c>
      <c r="E24" t="s">
        <v>295</v>
      </c>
      <c r="F24" s="296">
        <v>10</v>
      </c>
      <c r="G24" s="301">
        <f>IFERROR(F22*F24,0)</f>
        <v>20</v>
      </c>
      <c r="H24" s="56" t="str">
        <f>IFERROR(IF(UPPER(LEFT(F27,1))="J",IF((F24&gt;=18),"i.O.", "Volumen der Laborproben ist nicht erhöht"),IF((F24&gt;=9),"i.O.",IF(F24&gt;0,"kritisch: geringes Volumen der Laborproben",""))),"")</f>
        <v>i.O.</v>
      </c>
    </row>
    <row r="25" spans="1:14" x14ac:dyDescent="0.25">
      <c r="B25" s="292" t="s">
        <v>290</v>
      </c>
      <c r="E25" t="s">
        <v>296</v>
      </c>
      <c r="F25" s="296"/>
    </row>
    <row r="26" spans="1:14" x14ac:dyDescent="0.25">
      <c r="B26" s="56" t="s">
        <v>298</v>
      </c>
      <c r="F26" s="277"/>
    </row>
    <row r="27" spans="1:14" x14ac:dyDescent="0.25">
      <c r="B27" s="292" t="s">
        <v>304</v>
      </c>
      <c r="F27" s="296" t="s">
        <v>299</v>
      </c>
      <c r="G27" s="56" t="s">
        <v>288</v>
      </c>
      <c r="H27" s="303" t="str">
        <f>IF(UPPER(LEFT(F27,1))="J","Dokumentation im Laborbericht?",IF(LEN(F27)&gt;0,"Aussondern erfolgte vor Ort",""))</f>
        <v>Aussondern erfolgte vor Ort</v>
      </c>
    </row>
    <row r="28" spans="1:14" x14ac:dyDescent="0.25">
      <c r="B28" s="56" t="s">
        <v>308</v>
      </c>
      <c r="F28" s="277"/>
    </row>
    <row r="29" spans="1:14" x14ac:dyDescent="0.25">
      <c r="B29" s="292" t="s">
        <v>309</v>
      </c>
      <c r="F29" s="296" t="s">
        <v>299</v>
      </c>
      <c r="G29" s="56" t="s">
        <v>288</v>
      </c>
      <c r="H29" s="298" t="str">
        <f>IF(UPPER(LEFT(F29,1))="J","i.O.",IF(AND(LEN(F29)&gt;0,UPPER(LEFT(F27,1))&lt;&gt;"J"),"fehlt --&gt; Hinweis auf Charakterisierung im Labor?",""))</f>
        <v>fehlt --&gt; Hinweis auf Charakterisierung im Labor?</v>
      </c>
    </row>
    <row r="30" spans="1:14" x14ac:dyDescent="0.25">
      <c r="B30" s="56" t="s">
        <v>297</v>
      </c>
      <c r="E30" t="s">
        <v>296</v>
      </c>
      <c r="F30" s="296">
        <v>6</v>
      </c>
      <c r="G30" s="302">
        <f>IFERROR(IF(F30&gt;0,IF(AND(ISNUMBER(F25), F25&gt;0),F30/F25,F30/(G24*1.4)),""),"")</f>
        <v>0.21428571428571427</v>
      </c>
      <c r="H30" s="56" t="str">
        <f>IF(F30&gt;0,IF(G30&gt; 0.1, "auffällig hoch - Fotodoku der ausgesonderten Bestandteile?", "plausibel"),"")</f>
        <v>auffällig hoch - Fotodoku der ausgesonderten Bestandteile?</v>
      </c>
    </row>
    <row r="32" spans="1:14" x14ac:dyDescent="0.25">
      <c r="A32" s="71" t="s">
        <v>280</v>
      </c>
    </row>
    <row r="33" spans="2:5" ht="14.25" customHeight="1" x14ac:dyDescent="0.25">
      <c r="B33" s="295" t="s">
        <v>310</v>
      </c>
    </row>
    <row r="34" spans="2:5" x14ac:dyDescent="0.25">
      <c r="B34" s="56" t="s">
        <v>303</v>
      </c>
    </row>
    <row r="35" spans="2:5" x14ac:dyDescent="0.25">
      <c r="B35" s="56" t="s">
        <v>318</v>
      </c>
    </row>
    <row r="36" spans="2:5" ht="3.75" customHeight="1" x14ac:dyDescent="0.25">
      <c r="B36" s="56"/>
    </row>
    <row r="37" spans="2:5" x14ac:dyDescent="0.25">
      <c r="B37" s="295" t="s">
        <v>311</v>
      </c>
    </row>
    <row r="38" spans="2:5" x14ac:dyDescent="0.25">
      <c r="B38" s="56" t="s">
        <v>314</v>
      </c>
    </row>
    <row r="39" spans="2:5" x14ac:dyDescent="0.25">
      <c r="B39" s="56" t="s">
        <v>319</v>
      </c>
    </row>
    <row r="40" spans="2:5" ht="3.75" customHeight="1" x14ac:dyDescent="0.25">
      <c r="B40" s="56"/>
    </row>
    <row r="41" spans="2:5" x14ac:dyDescent="0.25">
      <c r="B41" s="295" t="s">
        <v>312</v>
      </c>
    </row>
    <row r="42" spans="2:5" x14ac:dyDescent="0.25">
      <c r="B42" s="298" t="s">
        <v>313</v>
      </c>
    </row>
    <row r="43" spans="2:5" x14ac:dyDescent="0.25">
      <c r="B43" s="298" t="s">
        <v>320</v>
      </c>
    </row>
    <row r="44" spans="2:5" ht="3.75" customHeight="1" x14ac:dyDescent="0.25">
      <c r="B44" s="56"/>
    </row>
    <row r="45" spans="2:5" x14ac:dyDescent="0.25">
      <c r="B45" s="295" t="s">
        <v>315</v>
      </c>
    </row>
    <row r="46" spans="2:5" x14ac:dyDescent="0.25">
      <c r="B46" s="298" t="s">
        <v>316</v>
      </c>
    </row>
    <row r="47" spans="2:5" x14ac:dyDescent="0.25">
      <c r="B47" s="298" t="s">
        <v>317</v>
      </c>
    </row>
    <row r="48" spans="2:5" x14ac:dyDescent="0.25">
      <c r="B48" s="298"/>
      <c r="D48" s="245" t="s">
        <v>323</v>
      </c>
      <c r="E48" t="s">
        <v>322</v>
      </c>
    </row>
    <row r="49" spans="2:13" x14ac:dyDescent="0.25">
      <c r="B49" s="298"/>
      <c r="D49" s="245" t="s">
        <v>324</v>
      </c>
      <c r="E49" t="s">
        <v>325</v>
      </c>
    </row>
    <row r="50" spans="2:13" x14ac:dyDescent="0.25">
      <c r="B50" s="298"/>
      <c r="D50" s="245" t="s">
        <v>321</v>
      </c>
      <c r="E50" t="s">
        <v>326</v>
      </c>
    </row>
    <row r="51" spans="2:13" x14ac:dyDescent="0.25">
      <c r="B51" s="298"/>
      <c r="D51" s="245" t="s">
        <v>328</v>
      </c>
      <c r="E51" t="s">
        <v>327</v>
      </c>
    </row>
    <row r="52" spans="2:13" x14ac:dyDescent="0.25">
      <c r="B52" s="298"/>
      <c r="E52" t="s">
        <v>329</v>
      </c>
    </row>
    <row r="53" spans="2:13" x14ac:dyDescent="0.25">
      <c r="B53" s="295"/>
      <c r="E53" t="s">
        <v>330</v>
      </c>
    </row>
    <row r="54" spans="2:13" ht="6" customHeight="1" x14ac:dyDescent="0.25"/>
    <row r="55" spans="2:13" x14ac:dyDescent="0.25">
      <c r="B55" s="56" t="s">
        <v>344</v>
      </c>
      <c r="F55" s="300" t="s">
        <v>292</v>
      </c>
      <c r="G55" s="56" t="s">
        <v>288</v>
      </c>
      <c r="H55" s="56" t="str">
        <f>IF(F55&gt;0,IF(UPPER(LEFT(F55,1))="J", "i.O.", "beim Labor anfordern!" ),"")</f>
        <v>i.O.</v>
      </c>
      <c r="L55" s="59"/>
      <c r="M55" s="299"/>
    </row>
    <row r="56" spans="2:13" ht="13.8" x14ac:dyDescent="0.3">
      <c r="B56" s="306" t="s">
        <v>345</v>
      </c>
      <c r="H56" s="56"/>
      <c r="L56" s="59"/>
      <c r="M56" s="299"/>
    </row>
    <row r="57" spans="2:13" ht="13.8" x14ac:dyDescent="0.3">
      <c r="B57" s="306" t="s">
        <v>346</v>
      </c>
      <c r="H57" s="56"/>
      <c r="L57" s="59"/>
      <c r="M57" s="299"/>
    </row>
    <row r="58" spans="2:13" x14ac:dyDescent="0.25">
      <c r="B58" s="56" t="s">
        <v>305</v>
      </c>
      <c r="F58" s="300">
        <v>0.02</v>
      </c>
      <c r="H58" s="56" t="str">
        <f>IF(F58&gt;0,IF(F58&gt;2%,"auffällig hoch!","i.O."),"")</f>
        <v>i.O.</v>
      </c>
      <c r="L58" s="59"/>
      <c r="M58" s="299"/>
    </row>
    <row r="59" spans="2:13" x14ac:dyDescent="0.25">
      <c r="B59" s="56" t="s">
        <v>306</v>
      </c>
      <c r="F59" s="300">
        <v>7.0000000000000007E-2</v>
      </c>
      <c r="H59" s="56" t="str">
        <f>IF(F59&gt;0,IF(F59&gt;7%,"auffällig hoch! -&gt; Fotodokumentation: wurden Anhaftungen abgereinigt?","i.O."),"")</f>
        <v>i.O.</v>
      </c>
    </row>
    <row r="60" spans="2:13" ht="4.5" customHeight="1" x14ac:dyDescent="0.25">
      <c r="B60" s="56"/>
      <c r="F60" s="300"/>
      <c r="H60" s="56"/>
    </row>
    <row r="61" spans="2:13" x14ac:dyDescent="0.25">
      <c r="B61" s="56" t="s">
        <v>331</v>
      </c>
      <c r="F61" s="300" t="s">
        <v>292</v>
      </c>
      <c r="G61" s="56" t="s">
        <v>288</v>
      </c>
      <c r="H61" s="56" t="str">
        <f>IF(F61&gt;0,IF(UPPER(LEFT(F61,1))="J", "i.O.", "Rückmeldung zur Fotodokumentation an das Labor!" ),"")</f>
        <v>i.O.</v>
      </c>
    </row>
    <row r="62" spans="2:13" ht="13.8" x14ac:dyDescent="0.3">
      <c r="B62" s="306" t="s">
        <v>347</v>
      </c>
      <c r="H62" s="56"/>
    </row>
    <row r="63" spans="2:13" ht="13.8" x14ac:dyDescent="0.3">
      <c r="B63" s="56" t="s">
        <v>336</v>
      </c>
      <c r="F63" s="300" t="s">
        <v>292</v>
      </c>
      <c r="G63" s="56" t="s">
        <v>288</v>
      </c>
      <c r="H63" s="56" t="str">
        <f>IF(F63&gt;0,IF(UPPER(LEFT(F63,1))="J", "i.O.", "unzureichend gereinigt" ),"")</f>
        <v>i.O.</v>
      </c>
    </row>
    <row r="64" spans="2:13" ht="13.8" x14ac:dyDescent="0.3">
      <c r="B64" s="306" t="s">
        <v>337</v>
      </c>
    </row>
    <row r="65" spans="1:10" ht="5.25" customHeight="1" x14ac:dyDescent="0.25">
      <c r="H65" s="56"/>
    </row>
    <row r="66" spans="1:10" ht="13.8" x14ac:dyDescent="0.3">
      <c r="B66" s="56" t="s">
        <v>332</v>
      </c>
      <c r="F66" s="300" t="s">
        <v>292</v>
      </c>
      <c r="G66" s="56" t="s">
        <v>288</v>
      </c>
      <c r="H66" s="56" t="str">
        <f>IF(F66&gt;0,IF(UPPER(LEFT(F66,1))="J", "hohe mechanische Beanspruchung!", "i.O." ),"")</f>
        <v>hohe mechanische Beanspruchung!</v>
      </c>
    </row>
    <row r="67" spans="1:10" ht="5.25" customHeight="1" x14ac:dyDescent="0.25">
      <c r="H67" s="56"/>
    </row>
    <row r="68" spans="1:10" ht="13.8" x14ac:dyDescent="0.3">
      <c r="B68" s="56" t="s">
        <v>334</v>
      </c>
      <c r="F68" s="300" t="s">
        <v>292</v>
      </c>
      <c r="G68" s="56" t="s">
        <v>288</v>
      </c>
      <c r="H68" s="56" t="str">
        <f>IF(F68&gt;0,IF(UPPER(LEFT(F68,1))="J", "kritische mechanische Beanspruchung!", "i.O." ),"")</f>
        <v>kritische mechanische Beanspruchung!</v>
      </c>
    </row>
    <row r="69" spans="1:10" ht="13.8" x14ac:dyDescent="0.3">
      <c r="B69" s="56" t="s">
        <v>335</v>
      </c>
      <c r="F69" s="300" t="s">
        <v>292</v>
      </c>
      <c r="G69" s="56" t="s">
        <v>288</v>
      </c>
      <c r="H69" s="56" t="str">
        <f>IF(F69&gt;0,IF(UPPER(LEFT(F69,1))="J", "Rückmeldung an das Labor, wenn größer ca. 20 %", "i.O." ),"")</f>
        <v>Rückmeldung an das Labor, wenn größer ca. 20 %</v>
      </c>
    </row>
    <row r="70" spans="1:10" ht="5.25" customHeight="1" x14ac:dyDescent="0.25">
      <c r="H70" s="56"/>
    </row>
    <row r="71" spans="1:10" ht="13.8" x14ac:dyDescent="0.3">
      <c r="B71" s="56" t="s">
        <v>333</v>
      </c>
      <c r="F71" s="300" t="s">
        <v>292</v>
      </c>
      <c r="G71" s="56" t="s">
        <v>288</v>
      </c>
      <c r="H71" s="56" t="str">
        <f>IF(F71&gt;0,IF(UPPER(LEFT(F71,1))="J", "Rückfrage beim Labor", "i.O." ),"")</f>
        <v>Rückfrage beim Labor</v>
      </c>
      <c r="J71" s="304" t="s">
        <v>339</v>
      </c>
    </row>
    <row r="72" spans="1:10" ht="13.8" x14ac:dyDescent="0.3">
      <c r="B72" s="56" t="s">
        <v>338</v>
      </c>
      <c r="F72" s="300" t="s">
        <v>292</v>
      </c>
      <c r="G72" s="56" t="s">
        <v>288</v>
      </c>
      <c r="H72" s="56" t="str">
        <f>IF(F72&gt;0,IF(UPPER(LEFT(F72,1))="J", "Rückmeldung an das Labor, wenn größer ca. 20 %", "i.O." ),"")</f>
        <v>Rückmeldung an das Labor, wenn größer ca. 20 %</v>
      </c>
    </row>
    <row r="73" spans="1:10" ht="5.25" customHeight="1" x14ac:dyDescent="0.25">
      <c r="H73" s="56"/>
    </row>
    <row r="74" spans="1:10" ht="13.8" x14ac:dyDescent="0.3">
      <c r="B74" s="56" t="s">
        <v>340</v>
      </c>
      <c r="F74" s="300" t="s">
        <v>292</v>
      </c>
      <c r="G74" s="56" t="s">
        <v>288</v>
      </c>
      <c r="H74" s="56" t="str">
        <f>IF(F74&gt;0,IF(UPPER(LEFT(F74,1))="J", "kritische mechanische Beanspruchung!", "i.O." ),"")</f>
        <v>kritische mechanische Beanspruchung!</v>
      </c>
    </row>
    <row r="75" spans="1:10" ht="13.8" x14ac:dyDescent="0.3">
      <c r="B75" s="56" t="s">
        <v>341</v>
      </c>
      <c r="F75" s="300" t="s">
        <v>292</v>
      </c>
      <c r="G75" s="56" t="s">
        <v>288</v>
      </c>
      <c r="H75" s="56" t="str">
        <f>IF(F75&gt;0,IF(UPPER(LEFT(F75,1))="J", "Rückmeldung an das Labor, wenn größer ca. 20 %", "i.O." ),"")</f>
        <v>Rückmeldung an das Labor, wenn größer ca. 20 %</v>
      </c>
    </row>
    <row r="76" spans="1:10" ht="6" customHeight="1" x14ac:dyDescent="0.25">
      <c r="B76" s="56"/>
      <c r="H76" s="56"/>
    </row>
    <row r="77" spans="1:10" ht="13.8" x14ac:dyDescent="0.3">
      <c r="B77" s="56" t="s">
        <v>342</v>
      </c>
      <c r="F77" s="300" t="s">
        <v>292</v>
      </c>
      <c r="G77" s="56" t="s">
        <v>288</v>
      </c>
      <c r="H77" s="56" t="str">
        <f>IF(F77&gt;0,IF(UPPER(LEFT(F77,1))="J", "Rückmeldung an das Labor, wenn größer ca. 30 %", "i.O." ),"")</f>
        <v>Rückmeldung an das Labor, wenn größer ca. 30 %</v>
      </c>
    </row>
    <row r="78" spans="1:10" ht="13.8" x14ac:dyDescent="0.3">
      <c r="B78" s="306" t="s">
        <v>343</v>
      </c>
      <c r="H78" s="56"/>
    </row>
    <row r="79" spans="1:10" x14ac:dyDescent="0.25">
      <c r="B79" s="56"/>
      <c r="H79" s="56"/>
    </row>
    <row r="80" spans="1:10" x14ac:dyDescent="0.25">
      <c r="A80" s="71" t="s">
        <v>348</v>
      </c>
      <c r="B80" s="56"/>
      <c r="H80" s="56"/>
    </row>
    <row r="81" spans="2:8" x14ac:dyDescent="0.25">
      <c r="B81" s="56" t="s">
        <v>356</v>
      </c>
      <c r="F81" s="300" t="s">
        <v>299</v>
      </c>
      <c r="G81" s="56" t="s">
        <v>288</v>
      </c>
      <c r="H81" s="56" t="str">
        <f>IF(F81&gt;0,IF(UPPER(LEFT(F81,1))="J", "i.O.", "wenn Ergebnisse kritisch sind, beim Labor anfordern! (sollte Auftragsbestandteil sein)" ),"")</f>
        <v>wenn Ergebnisse kritisch sind, beim Labor anfordern! (sollte Auftragsbestandteil sein)</v>
      </c>
    </row>
    <row r="82" spans="2:8" x14ac:dyDescent="0.25">
      <c r="B82" s="56" t="s">
        <v>355</v>
      </c>
      <c r="F82" s="300" t="s">
        <v>299</v>
      </c>
      <c r="G82" s="56" t="s">
        <v>288</v>
      </c>
      <c r="H82" s="56" t="str">
        <f>IF(F82&gt;0,IF(UPPER(LEFT(F82,1))="N", "i.O.", "wenn Ergebnissen kritisch sind, Erläuterung bzw. Nachuntersuchung beim Labor anfordern!" ),"")</f>
        <v>i.O.</v>
      </c>
    </row>
    <row r="83" spans="2:8" x14ac:dyDescent="0.25">
      <c r="B83" s="56"/>
      <c r="H83" s="56"/>
    </row>
    <row r="84" spans="2:8" x14ac:dyDescent="0.25">
      <c r="B84" s="56" t="s">
        <v>349</v>
      </c>
      <c r="F84" s="300" t="s">
        <v>299</v>
      </c>
      <c r="G84" s="56" t="s">
        <v>288</v>
      </c>
      <c r="H84" s="56" t="str">
        <f>IF(F84&gt;0,IF(UPPER(LEFT(F84,1))="J", "i.O.", "Hinweis auf unzureichenden Aufschluss. " ),"")</f>
        <v xml:space="preserve">Hinweis auf unzureichenden Aufschluss. </v>
      </c>
    </row>
    <row r="85" spans="2:8" ht="13.8" x14ac:dyDescent="0.3">
      <c r="B85" s="306"/>
      <c r="F85" s="307"/>
      <c r="H85" s="306" t="str">
        <f>IF(F84&gt;0,IF(UPPER(LEFT(F84,1))="J","","Ggf. Einzelwerte beim Labor anfordern und bei hoher Streuung Nachuntersuchung veranlassen."),"")</f>
        <v>Ggf. Einzelwerte beim Labor anfordern und bei hoher Streuung Nachuntersuchung veranlassen.</v>
      </c>
    </row>
    <row r="86" spans="2:8" ht="13.8" x14ac:dyDescent="0.3">
      <c r="B86" s="56" t="s">
        <v>350</v>
      </c>
      <c r="F86" s="300" t="s">
        <v>292</v>
      </c>
      <c r="G86" s="56" t="s">
        <v>288</v>
      </c>
      <c r="H86" s="56" t="str">
        <f>IF(F86&gt;0,IF(UPPER(LEFT(F86,1))="J", "i.O.", "Hinweis auf unzureichende Reinheit der Fraktion. Fotodoku auswerten und Hinweis an das Labor" ),"")</f>
        <v>i.O.</v>
      </c>
    </row>
    <row r="87" spans="2:8" ht="13.8" x14ac:dyDescent="0.3">
      <c r="H87" s="306" t="str">
        <f>IF(F86&gt;0,IF(UPPER(LEFT(F86,1))="J","","Ist nicht kritisch für die Quantifizierung der Metalle_goL &lt; 1 mm, könnte aber bei der Aufsichtsbehörde auffallen"),"")</f>
        <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2687156BB96D428951CB13567B1242" ma:contentTypeVersion="17" ma:contentTypeDescription="Ein neues Dokument erstellen." ma:contentTypeScope="" ma:versionID="1d5455871421ac2574e8ada5921d97e2">
  <xsd:schema xmlns:xsd="http://www.w3.org/2001/XMLSchema" xmlns:xs="http://www.w3.org/2001/XMLSchema" xmlns:p="http://schemas.microsoft.com/office/2006/metadata/properties" xmlns:ns2="33636c62-2e12-4e73-be8a-20cc69b7ca6c" xmlns:ns3="acb90209-f18c-4b31-90ca-73e7b3b8b0e6" targetNamespace="http://schemas.microsoft.com/office/2006/metadata/properties" ma:root="true" ma:fieldsID="29ae595a1445401994f08b867815c0d7" ns2:_="" ns3:_="">
    <xsd:import namespace="33636c62-2e12-4e73-be8a-20cc69b7ca6c"/>
    <xsd:import namespace="acb90209-f18c-4b31-90ca-73e7b3b8b0e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36c62-2e12-4e73-be8a-20cc69b7ca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676caa0f-db8e-49d1-8308-858c9364b98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b90209-f18c-4b31-90ca-73e7b3b8b0e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f2bcf554-f3bf-4145-9a36-ab27f8ac29d6}" ma:internalName="TaxCatchAll" ma:showField="CatchAllData" ma:web="acb90209-f18c-4b31-90ca-73e7b3b8b0e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cb90209-f18c-4b31-90ca-73e7b3b8b0e6" xsi:nil="true"/>
    <lcf76f155ced4ddcb4097134ff3c332f xmlns="33636c62-2e12-4e73-be8a-20cc69b7ca6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7433B9B-4214-41B4-AF82-5F1FDF3C465C}"/>
</file>

<file path=customXml/itemProps2.xml><?xml version="1.0" encoding="utf-8"?>
<ds:datastoreItem xmlns:ds="http://schemas.openxmlformats.org/officeDocument/2006/customXml" ds:itemID="{B4EFA1E0-37D0-44BA-84EA-A27D6CE81717}"/>
</file>

<file path=customXml/itemProps3.xml><?xml version="1.0" encoding="utf-8"?>
<ds:datastoreItem xmlns:ds="http://schemas.openxmlformats.org/officeDocument/2006/customXml" ds:itemID="{7097A3D2-0991-46AD-9FA6-64BCE0286E6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Info</vt:lpstr>
      <vt:lpstr>Hinweise_zur_Beauftragung</vt:lpstr>
      <vt:lpstr>Übernahme_Werte</vt:lpstr>
      <vt:lpstr>für_Einstufung</vt:lpstr>
      <vt:lpstr>Hazard_Index</vt:lpstr>
      <vt:lpstr>Plausibilitätsprüfungen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hermann</dc:creator>
  <cp:lastModifiedBy>H. Nordsieck</cp:lastModifiedBy>
  <cp:lastPrinted>2023-10-21T11:55:24Z</cp:lastPrinted>
  <dcterms:created xsi:type="dcterms:W3CDTF">2023-10-20T06:32:45Z</dcterms:created>
  <dcterms:modified xsi:type="dcterms:W3CDTF">2024-12-04T20:00:01Z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0x010100812687156BB96D428951CB13567B1242</vt:lpwstr>
  </property>
</Properties>
</file>